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xr2="http://schemas.microsoft.com/office/spreadsheetml/2015/revision2" xmlns:x15="http://schemas.microsoft.com/office/spreadsheetml/2010/11/main" xmlns:xr6="http://schemas.microsoft.com/office/spreadsheetml/2016/revision6" xmlns:xr10="http://schemas.microsoft.com/office/spreadsheetml/2016/revision10" xmlns:mc="http://schemas.openxmlformats.org/markup-compatibility/2006" xmlns:xr="http://schemas.microsoft.com/office/spreadsheetml/2014/revision" mc:Ignorable="x15 xr xr6 xr10 xr2">
  <fileVersion appName="xl" lastEdited="7" lowestEdited="7" rupBuild="20730"/>
  <workbookPr defaultThemeVersion="166925" autoCompressPictures="0"/>
  <mc:AlternateContent xmlns:mc="http://schemas.openxmlformats.org/markup-compatibility/2006">
    <mc:Choice Requires="x15">
      <x15ac:absPath xmlns:x15ac="http://schemas.microsoft.com/office/spreadsheetml/2010/11/ac" url="C:\Users\daniel.margolis\Desktop\7th Dormant Dockets\"/>
    </mc:Choice>
  </mc:AlternateContent>
  <bookViews>
    <workbookView xWindow="0" yWindow="0" windowWidth="28800" windowHeight="14610" activeTab="0"/>
  </bookViews>
  <sheets>
    <sheet name="PN" sheetId="6" r:id="rId2"/>
  </sheets>
  <definedNames>
    <definedName name="_xlnm._FilterDatabase" localSheetId="0" hidden="1">PN!$A$1:$XEV$383</definedName>
  </definedNames>
  <calcPr fullCalcOnLoad="1"/>
  <extLst/>
</workbook>
</file>

<file path=xl/calcChain.xml><?xml version="1.0" encoding="utf-8"?>
<calcChain xmlns="http://schemas.openxmlformats.org/spreadsheetml/2006/main">
  <c r="D383" i="6" l="1"/>
</calcChain>
</file>

<file path=xl/sharedStrings.xml><?xml version="1.0" encoding="utf-8"?>
<sst xmlns="http://schemas.openxmlformats.org/spreadsheetml/2006/main" count="1914" uniqueCount="1163">
  <si>
    <t>ECFS Link</t>
  </si>
  <si>
    <t>EDOCS Link</t>
  </si>
  <si>
    <t>Description</t>
  </si>
  <si>
    <t>Consumer and Governmental Affairs Bureau</t>
  </si>
  <si>
    <t>04-208</t>
  </si>
  <si>
    <t>5/25/2004</t>
  </si>
  <si>
    <t>6/11/2015</t>
  </si>
  <si>
    <t>7/31/2015</t>
  </si>
  <si>
    <t>6/10/2015</t>
  </si>
  <si>
    <t>11/17/2015</t>
  </si>
  <si>
    <t>Commission Seeks Public Comment in 2012 Biennial Review of Telecommunications Regulations</t>
  </si>
  <si>
    <t>8/6/2013</t>
  </si>
  <si>
    <t>1/15/2015</t>
  </si>
  <si>
    <t>3/4/2015</t>
  </si>
  <si>
    <t>None</t>
  </si>
  <si>
    <t>RM-11750</t>
  </si>
  <si>
    <t>CONSUMER &amp; GOVERNMENTAL AFFAIRS BUREAU REFERENCE INFORMATION CENTER PETITION FOR RULEMAKING FILED</t>
  </si>
  <si>
    <t>5/28/2015</t>
  </si>
  <si>
    <t>12/11/2015</t>
  </si>
  <si>
    <t>Media Bureau</t>
  </si>
  <si>
    <t>PRM14MB</t>
  </si>
  <si>
    <t>Media Bureaus petitions for rulemaking filed in 2014</t>
  </si>
  <si>
    <t>1/16/2014</t>
  </si>
  <si>
    <t>12/8/2014</t>
  </si>
  <si>
    <t>RM-11752</t>
  </si>
  <si>
    <t>Consumer &amp; Governmental Affairs Bureau Reference Information Center Petition For Rulemaking Filed</t>
  </si>
  <si>
    <t>7/14/2015</t>
  </si>
  <si>
    <t>8/31/2015</t>
  </si>
  <si>
    <t>7/30/2015</t>
  </si>
  <si>
    <t>10/1/2015</t>
  </si>
  <si>
    <t>Office of Engineering and Technology</t>
  </si>
  <si>
    <t>Public Safety and Homeland Security</t>
  </si>
  <si>
    <t>12/10/2015</t>
  </si>
  <si>
    <t>Wireless Telecommunications Bureau</t>
  </si>
  <si>
    <t>11/12/2015</t>
  </si>
  <si>
    <t>11/17/2014</t>
  </si>
  <si>
    <t>2/13/2015</t>
  </si>
  <si>
    <t>Enforcement Bureau</t>
  </si>
  <si>
    <t>13-35</t>
  </si>
  <si>
    <t>2/1/2013</t>
  </si>
  <si>
    <t>14-209</t>
  </si>
  <si>
    <t>AT&amp;T v. All American Tel. Co.</t>
  </si>
  <si>
    <t>11/18/2014</t>
  </si>
  <si>
    <t>14-216</t>
  </si>
  <si>
    <t>Verizon Florida LLC v. Florida Power and Light Company</t>
  </si>
  <si>
    <t>3/17/2016</t>
  </si>
  <si>
    <t>14-223</t>
  </si>
  <si>
    <t>Sprint Communications Company L.P. v. North County Comm. Corp.</t>
  </si>
  <si>
    <t>12/15/2015</t>
  </si>
  <si>
    <t>3/18/2015</t>
  </si>
  <si>
    <t>International Bureau</t>
  </si>
  <si>
    <t>04-286</t>
  </si>
  <si>
    <t>7/29/2004</t>
  </si>
  <si>
    <t>8/27/2015</t>
  </si>
  <si>
    <t>11-57</t>
  </si>
  <si>
    <t>3/28/2011</t>
  </si>
  <si>
    <t>7/17/2015</t>
  </si>
  <si>
    <t>12-324</t>
  </si>
  <si>
    <t>PETITION FOR PROTECTION FROM ANTICOMPETITIVE BEHAVIOR AND STOP SETTLEMENT PAYMENT ORDER ON THE U.S.-PAKISTAN ROUTE</t>
  </si>
  <si>
    <t>10/31/2012</t>
  </si>
  <si>
    <t>2/18/2016</t>
  </si>
  <si>
    <t>2/6/2015</t>
  </si>
  <si>
    <t>15-16</t>
  </si>
  <si>
    <t>INTERNATIONAL BUREAU INFORMATION:REPORT TO CONGRESS REGARDING THE ORBIT ACT</t>
  </si>
  <si>
    <t>1/22/2015</t>
  </si>
  <si>
    <t>11/24/2015</t>
  </si>
  <si>
    <t>1/8/2015</t>
  </si>
  <si>
    <t>11/21/2014</t>
  </si>
  <si>
    <t>04-228</t>
  </si>
  <si>
    <t>6/10/2004</t>
  </si>
  <si>
    <t>6/23/2014</t>
  </si>
  <si>
    <t>12/16/2014</t>
  </si>
  <si>
    <t>6/8/2009</t>
  </si>
  <si>
    <t>05-312</t>
  </si>
  <si>
    <t>11/3/2005</t>
  </si>
  <si>
    <t>6/26/2015</t>
  </si>
  <si>
    <t>07-57</t>
  </si>
  <si>
    <t>XM Satellite Radio Holdings, Inc. and Sirius Satellite Radio, Inc. seek approval to transfer control of licensee entities holding FCC Licenses and other Authorizations</t>
  </si>
  <si>
    <t>3/27/2007</t>
  </si>
  <si>
    <t>3/6/2012</t>
  </si>
  <si>
    <t>2/24/2015</t>
  </si>
  <si>
    <t>11-189</t>
  </si>
  <si>
    <t>11/14/2011</t>
  </si>
  <si>
    <t>7/25/2012</t>
  </si>
  <si>
    <t>7/29/2015</t>
  </si>
  <si>
    <t>12-113</t>
  </si>
  <si>
    <t>4/26/2012</t>
  </si>
  <si>
    <t>7/7/2014</t>
  </si>
  <si>
    <t>12-121</t>
  </si>
  <si>
    <t>MEDIA BUREAU SEEKS COMMENT ON PETITION FOR RULEMAKING REQUESTING THAT THE COMMISSION AMEND THE OVER-THE-AIR RECEPTION DEVICES RULE TO CLARIFY THE EXTENT TO WHICH LOCAL GOVERNMENTS CAN REGULATE NON-EXCLUSIVE USE AREAS</t>
  </si>
  <si>
    <t>5/8/2012</t>
  </si>
  <si>
    <t>5/13/2014</t>
  </si>
  <si>
    <t>12-159</t>
  </si>
  <si>
    <t>COMCAST CABLE COMMUNICATIONS, LLC/BEACHWOOD</t>
  </si>
  <si>
    <t>6/22/2012</t>
  </si>
  <si>
    <t>3/21/2016</t>
  </si>
  <si>
    <t>12-160</t>
  </si>
  <si>
    <t>COMCAST CABLE COMMUNICATIONS, LLC/EAST WINDSOR</t>
  </si>
  <si>
    <t>12-161</t>
  </si>
  <si>
    <t>COMCAST CABLE COMMUNICATIONS, LLC/HAZLET, NJ</t>
  </si>
  <si>
    <t>12-163</t>
  </si>
  <si>
    <t>COMCAST CABLE COMMUNICATIONS, LLC/MULLICA AND WEYMOUTH, NJ</t>
  </si>
  <si>
    <t>12-164</t>
  </si>
  <si>
    <t>COMCAST CABLE COMMUNICATIONS, LLC/BORDENTOWN (CITY) AND BORDENTOWN (TOWNSHIP), NJ</t>
  </si>
  <si>
    <t>12-165</t>
  </si>
  <si>
    <t>COMCAST CABLE COMMUNICATIONS, LLC/BUENA</t>
  </si>
  <si>
    <t>12-166</t>
  </si>
  <si>
    <t>COMCAST CABLE COMMUNICATIONS, LLC/CHATHAM</t>
  </si>
  <si>
    <t>12-180</t>
  </si>
  <si>
    <t>Comcast Cable Communications, LLC/Ewing, DE</t>
  </si>
  <si>
    <t>7/2/2012</t>
  </si>
  <si>
    <t>12-181</t>
  </si>
  <si>
    <t>Univision Communications, Inc. (KXLN-DT and (KFTH-DT))/ Rosenberg and Alvin, TX</t>
  </si>
  <si>
    <t>12-183</t>
  </si>
  <si>
    <t>Comcast Cable Communications, LLC/Berkeley Heights, NJ et al</t>
  </si>
  <si>
    <t>9/18/2014</t>
  </si>
  <si>
    <t>8/9/2012</t>
  </si>
  <si>
    <t>12-222</t>
  </si>
  <si>
    <t>Post Newsweek Stations (KPRC-TV)</t>
  </si>
  <si>
    <t>6/2/2015</t>
  </si>
  <si>
    <t>12-257</t>
  </si>
  <si>
    <t>Request for Declaratory Ruling</t>
  </si>
  <si>
    <t>9/11/2012</t>
  </si>
  <si>
    <t>2/11/2013</t>
  </si>
  <si>
    <t>12-266</t>
  </si>
  <si>
    <t>ABC Inc. (KTRK-TV)</t>
  </si>
  <si>
    <t>9/26/2012</t>
  </si>
  <si>
    <t>12-3</t>
  </si>
  <si>
    <t>Commission Seeks Comments On Petition For Rulemaking Seeking Elimination Of The Sport Blackout Rule</t>
  </si>
  <si>
    <t>1/11/2012</t>
  </si>
  <si>
    <t>12-34</t>
  </si>
  <si>
    <t>2/9/2012</t>
  </si>
  <si>
    <t>11/20/2012</t>
  </si>
  <si>
    <t>12-35</t>
  </si>
  <si>
    <t>8/10/2012</t>
  </si>
  <si>
    <t>12-365</t>
  </si>
  <si>
    <t>Western Pacific Broadcast, LLC (WACP-TV) v. Blue Ridge Cable</t>
  </si>
  <si>
    <t>12/14/2012</t>
  </si>
  <si>
    <t>5/14/2015</t>
  </si>
  <si>
    <t>13-131</t>
  </si>
  <si>
    <t>Comcast Cable Communications, LLC</t>
  </si>
  <si>
    <t>5/17/2013</t>
  </si>
  <si>
    <t>2/24/2016</t>
  </si>
  <si>
    <t>13-16</t>
  </si>
  <si>
    <t>Gray Television Licensee, Inc. (WTAP-TV, WIYE-LD, WOVA-LD)</t>
  </si>
  <si>
    <t>1/18/2013</t>
  </si>
  <si>
    <t>2/25/2015</t>
  </si>
  <si>
    <t>13-181</t>
  </si>
  <si>
    <t>Chesapeake Television Licensee, LLC</t>
  </si>
  <si>
    <t>7/11/2013</t>
  </si>
  <si>
    <t>6/25/2015</t>
  </si>
  <si>
    <t>13-198</t>
  </si>
  <si>
    <t>8/7/2013</t>
  </si>
  <si>
    <t>3/2/2016</t>
  </si>
  <si>
    <t>13-214</t>
  </si>
  <si>
    <t>WPEC Licensee, LLC</t>
  </si>
  <si>
    <t>9/5/2013</t>
  </si>
  <si>
    <t>1/26/2015</t>
  </si>
  <si>
    <t>13-244</t>
  </si>
  <si>
    <t>Bellizzi Broadcasting Network, Inc. (WEYW-LP)</t>
  </si>
  <si>
    <t>10/22/2013</t>
  </si>
  <si>
    <t>11/18/2015</t>
  </si>
  <si>
    <t>11/22/2013</t>
  </si>
  <si>
    <t>14-102</t>
  </si>
  <si>
    <t>7/10/2014</t>
  </si>
  <si>
    <t>6/23/2015</t>
  </si>
  <si>
    <t>14-119</t>
  </si>
  <si>
    <t>7/28/2014</t>
  </si>
  <si>
    <t>12/18/2014</t>
  </si>
  <si>
    <t>14-124</t>
  </si>
  <si>
    <t>Bloomberg L.P.</t>
  </si>
  <si>
    <t>7/30/2014</t>
  </si>
  <si>
    <t>3/29/2015</t>
  </si>
  <si>
    <t>14-131</t>
  </si>
  <si>
    <t>Media General Communications Holdings, LLC</t>
  </si>
  <si>
    <t>8/20/2014</t>
  </si>
  <si>
    <t>14-137</t>
  </si>
  <si>
    <t>H3 Communications, LLC</t>
  </si>
  <si>
    <t>8/28/2014</t>
  </si>
  <si>
    <t>14-175</t>
  </si>
  <si>
    <t>Amendment of Part 15 of the Commission's Rules to Eliminate the Analog Tuner Requirement</t>
  </si>
  <si>
    <t>10/10/2014</t>
  </si>
  <si>
    <t>2/22/2016</t>
  </si>
  <si>
    <t>14-183</t>
  </si>
  <si>
    <t>KAZN-TV Licensee, LLC v. AT&amp;T</t>
  </si>
  <si>
    <t>10/22/2014</t>
  </si>
  <si>
    <t>14-184</t>
  </si>
  <si>
    <t>KAZN-TV Licensee, LLC v. Cox Communications California, LLC</t>
  </si>
  <si>
    <t>2/11/2015</t>
  </si>
  <si>
    <t>14-185</t>
  </si>
  <si>
    <t>KAZN-TV Licensee, LLC v. Mediacom California, LLC</t>
  </si>
  <si>
    <t>14-186</t>
  </si>
  <si>
    <t>KAZN-TV Licensee, LLC v. Verizon California, LLC</t>
  </si>
  <si>
    <t>14-226</t>
  </si>
  <si>
    <t>Amendment of Section 73.1216 of the Commission's Rules Related to Broadcast Licensee-Conducted Contests</t>
  </si>
  <si>
    <t>11/19/2014</t>
  </si>
  <si>
    <t>2/16/2016</t>
  </si>
  <si>
    <t>12/10/2014</t>
  </si>
  <si>
    <t>12/23/2014</t>
  </si>
  <si>
    <t>12/29/2014</t>
  </si>
  <si>
    <t>14-30</t>
  </si>
  <si>
    <t>2/20/2014</t>
  </si>
  <si>
    <t>9/16/2015</t>
  </si>
  <si>
    <t>14-31</t>
  </si>
  <si>
    <t>Cross Hill Communications, LLC</t>
  </si>
  <si>
    <t>12/1/2014</t>
  </si>
  <si>
    <t>14-45</t>
  </si>
  <si>
    <t>Tobacco Valley Communications, Inc.</t>
  </si>
  <si>
    <t>3/19/2014</t>
  </si>
  <si>
    <t>5/6/2014</t>
  </si>
  <si>
    <t>14-59</t>
  </si>
  <si>
    <t>Special Relief and Show Cause Petitions</t>
  </si>
  <si>
    <t>4/10/2014</t>
  </si>
  <si>
    <t>8/6/2014</t>
  </si>
  <si>
    <t>14-94</t>
  </si>
  <si>
    <t>Cablevision of New Jersey, LLC</t>
  </si>
  <si>
    <t>6/18/2014</t>
  </si>
  <si>
    <t>7/24/2015</t>
  </si>
  <si>
    <t>15-106</t>
  </si>
  <si>
    <t>Atlantic Broadband (Penn), LLC</t>
  </si>
  <si>
    <t>4/30/2015</t>
  </si>
  <si>
    <t>1/21/2016</t>
  </si>
  <si>
    <t>15-107</t>
  </si>
  <si>
    <t>15-108</t>
  </si>
  <si>
    <t>8/13/2015</t>
  </si>
  <si>
    <t>15-12</t>
  </si>
  <si>
    <t>MMK License LLC</t>
  </si>
  <si>
    <t>15-120</t>
  </si>
  <si>
    <t>Cox Com, LLC</t>
  </si>
  <si>
    <t>5/21/2015</t>
  </si>
  <si>
    <t>10/14/2015</t>
  </si>
  <si>
    <t>15-151</t>
  </si>
  <si>
    <t>Northwest Broadcasting, L.P.</t>
  </si>
  <si>
    <t>6/24/2015</t>
  </si>
  <si>
    <t>11/9/2015</t>
  </si>
  <si>
    <t>15-153</t>
  </si>
  <si>
    <t>9/1/2015</t>
  </si>
  <si>
    <t>9/29/2015</t>
  </si>
  <si>
    <t>15-37</t>
  </si>
  <si>
    <t>FCC Adopts Order Implementing Sections 101, 103 and 105 of STELAR</t>
  </si>
  <si>
    <t>2/18/2015</t>
  </si>
  <si>
    <t>3/9/2015</t>
  </si>
  <si>
    <t>15-42</t>
  </si>
  <si>
    <t>Media Bureau Seeks Comment On Funai's Petition For Waiver of Over-The-Air Analog Tuner Requirements</t>
  </si>
  <si>
    <t>5/4/2015</t>
  </si>
  <si>
    <t>15-45</t>
  </si>
  <si>
    <t>Mark III Media, Inc.</t>
  </si>
  <si>
    <t>2/26/2015</t>
  </si>
  <si>
    <t>7/15/2015</t>
  </si>
  <si>
    <t>15-46</t>
  </si>
  <si>
    <t>Silverton Broadcasting Company, LLC</t>
  </si>
  <si>
    <t>15-47</t>
  </si>
  <si>
    <t>9/22/2015</t>
  </si>
  <si>
    <t>15-52</t>
  </si>
  <si>
    <t>3/13/2015</t>
  </si>
  <si>
    <t>5/12/2015</t>
  </si>
  <si>
    <t>4/1/2015</t>
  </si>
  <si>
    <t>7/27/2015</t>
  </si>
  <si>
    <t>Cable Services Bureau</t>
  </si>
  <si>
    <t>98-120</t>
  </si>
  <si>
    <t>IN THE MATTER OF CARRIAGE OF THE TRANSMISSIONS OF DIGITAL TELEVISION BROADCAST STATIONS</t>
  </si>
  <si>
    <t>7/10/1998</t>
  </si>
  <si>
    <t>RM-11626</t>
  </si>
  <si>
    <t>Request for Licensing Freezes</t>
  </si>
  <si>
    <t>3/24/2011</t>
  </si>
  <si>
    <t>8/28/2012</t>
  </si>
  <si>
    <t>RM-11684</t>
  </si>
  <si>
    <t>9/17/2015</t>
  </si>
  <si>
    <t>RM-11691</t>
  </si>
  <si>
    <t>Western Pacific Broadcast, LLC, Amendment of Section 73.622(i) Digital Television Table of Allotments (Seaford, Delaware and Dover, Delaware)</t>
  </si>
  <si>
    <t>2/6/2013</t>
  </si>
  <si>
    <t>7/14/2014</t>
  </si>
  <si>
    <t>RM-11720</t>
  </si>
  <si>
    <t>Amendments to the FCC's Good-Faith Bargaining Rules</t>
  </si>
  <si>
    <t>5/19/2014</t>
  </si>
  <si>
    <t>8/14/2015</t>
  </si>
  <si>
    <t>7/16/2014</t>
  </si>
  <si>
    <t>12/4/2014</t>
  </si>
  <si>
    <t>1/7/2015</t>
  </si>
  <si>
    <t>4/20/2015</t>
  </si>
  <si>
    <t>RM-11756</t>
  </si>
  <si>
    <t>FM Table of Allotments, Grant Oklahoma</t>
  </si>
  <si>
    <t>11/5/2015</t>
  </si>
  <si>
    <t>11/6/2015</t>
  </si>
  <si>
    <t>2/29/2016</t>
  </si>
  <si>
    <t>17-314</t>
  </si>
  <si>
    <t>https://www.fcc.gov/ecfs/search/filings?proceedings_name=17-314&amp;sort=date_disseminated,DESC</t>
  </si>
  <si>
    <t>https://apps.fcc.gov/edocs_public/Query.do?docket=17-314</t>
  </si>
  <si>
    <t>StogMedia</t>
  </si>
  <si>
    <t>12-152</t>
  </si>
  <si>
    <t>https://www.fcc.gov/ecfs/search/filings?proceedings_name=12-152&amp;sort=date_disseminated,DESC</t>
  </si>
  <si>
    <t>https://apps.fcc.gov/edocs_public/Query.do?docket=12-152</t>
  </si>
  <si>
    <t>Comcast</t>
  </si>
  <si>
    <t>12-162</t>
  </si>
  <si>
    <t>https://apps.fcc.gov/edocs_public/Query.do?docket=12-162</t>
  </si>
  <si>
    <t>12-171</t>
  </si>
  <si>
    <t>https://www.fcc.gov/ecfs/search/filings?proceedings_name=12-171&amp;sort=date_disseminated,DESC</t>
  </si>
  <si>
    <t>https://apps.fcc.gov/edocs_public/Query.do?docket=12-171</t>
  </si>
  <si>
    <t>Time Warner Cable</t>
  </si>
  <si>
    <t>12-172</t>
  </si>
  <si>
    <t>https://www.fcc.gov/ecfs/search/filings?proceedings_name=12-172&amp;sort=date_disseminated,DESC</t>
  </si>
  <si>
    <t>https://apps.fcc.gov/edocs_public/Query.do?docket=12-172</t>
  </si>
  <si>
    <t>12-190</t>
  </si>
  <si>
    <t>https://www.fcc.gov/ecfs/search/filings?proceedings_name=12-190&amp;sort=date_disseminated,DESC</t>
  </si>
  <si>
    <t>https://apps.fcc.gov/edocs_public/Query.do?docket=12-190</t>
  </si>
  <si>
    <t>12-308</t>
  </si>
  <si>
    <t>https://www.fcc.gov/ecfs/search/filings?proceedings_name=12-308&amp;sort=date_disseminated,DESC</t>
  </si>
  <si>
    <t>https://apps.fcc.gov/edocs_public/Query.do?docket=12-308</t>
  </si>
  <si>
    <t>Comcast of Potomac, LLC</t>
  </si>
  <si>
    <t>13-157</t>
  </si>
  <si>
    <t>https://www.fcc.gov/ecfs/search/filings?proceedings_name=13-157&amp;sort=date_disseminated,DESC</t>
  </si>
  <si>
    <t>https://apps.fcc.gov/edocs_public/Query.do?docket=13-158</t>
  </si>
  <si>
    <t>13-158</t>
  </si>
  <si>
    <t>https://www.fcc.gov/ecfs/search/filings?proceedings_name=13-158&amp;sort=date_disseminated,DESC</t>
  </si>
  <si>
    <t>13-159</t>
  </si>
  <si>
    <t>https://www.fcc.gov/ecfs/search/filings?proceedings_name=13-159&amp;sort=date_disseminated,DESC</t>
  </si>
  <si>
    <t>https://apps.fcc.gov/edocs_public/Query.do?docket=13-159</t>
  </si>
  <si>
    <t>13-160</t>
  </si>
  <si>
    <t>https://www.fcc.gov/ecfs/search/filings?proceedings_name=13-160&amp;sort=date_disseminated,DESC</t>
  </si>
  <si>
    <t>https://apps.fcc.gov/edocs_public/Query.do?docket=13-160</t>
  </si>
  <si>
    <t>13-161</t>
  </si>
  <si>
    <t>https://www.fcc.gov/ecfs/search/filings?proceedings_name=13-161&amp;sort=date_disseminated,DESC</t>
  </si>
  <si>
    <t>https://apps.fcc.gov/edocs_public/Query.do?docket=13-161</t>
  </si>
  <si>
    <t>13-167</t>
  </si>
  <si>
    <t>https://www.fcc.gov/ecfs/search/filings?proceedings_name=13-167&amp;sort=date_disseminated,DESC</t>
  </si>
  <si>
    <t>https://apps.fcc.gov/edocs_public/Query.do?docket=13-167</t>
  </si>
  <si>
    <t>13-168</t>
  </si>
  <si>
    <t>https://www.fcc.gov/ecfs/search/filings?proceedings_name=13-168&amp;sort=date_disseminated,DESC</t>
  </si>
  <si>
    <t>https://apps.fcc.gov/edocs_public/Query.do?docket=13-168</t>
  </si>
  <si>
    <t>13-169</t>
  </si>
  <si>
    <t>https://www.fcc.gov/ecfs/search/filings?proceedings_name=13-169&amp;sort=date_disseminated,DESC</t>
  </si>
  <si>
    <t>https://apps.fcc.gov/edocs_public/Query.do?docket=13-169</t>
  </si>
  <si>
    <t>13-170</t>
  </si>
  <si>
    <t>https://www.fcc.gov/ecfs/search/filings?proceedings_name=13-170&amp;sort=date_disseminated,DESC</t>
  </si>
  <si>
    <t>https://apps.fcc.gov/edocs_public/Query.do?docket=13-170</t>
  </si>
  <si>
    <t>13-173</t>
  </si>
  <si>
    <t>https://www.fcc.gov/ecfs/search/filings?proceedings_name=13-173&amp;sort=date_disseminated,DESC</t>
  </si>
  <si>
    <t>https://apps.fcc.gov/edocs_public/Query.do?docket=13-173</t>
  </si>
  <si>
    <t>13-286</t>
  </si>
  <si>
    <t>https://www.fcc.gov/ecfs/search/filings?proceedings_name=13-286&amp;sort=date_disseminated,DESC</t>
  </si>
  <si>
    <t>https://apps.fcc.gov/edocs_public/Query.do?docket=13-286</t>
  </si>
  <si>
    <t>13-310</t>
  </si>
  <si>
    <t>https://www.fcc.gov/ecfs/search/filings?proceedings_name=13-310&amp;sort=date_disseminated,DESC</t>
  </si>
  <si>
    <t>https://apps.fcc.gov/edocs_public/Query.do?docket=13-310</t>
  </si>
  <si>
    <t>13-92</t>
  </si>
  <si>
    <t>https://www.fcc.gov/ecfs/search/filings?proceedings_name=13-92&amp;sort=date_disseminated,DESC</t>
  </si>
  <si>
    <t>https://apps.fcc.gov/edocs_public/Query.do?docket=13-92</t>
  </si>
  <si>
    <t>Time Warner Cable Inc.</t>
  </si>
  <si>
    <t>14-101</t>
  </si>
  <si>
    <t>https://www.fcc.gov/ecfs/search/filings?proceedings_name=14-101&amp;sort=date_disseminated,DESC</t>
  </si>
  <si>
    <t>https://apps.fcc.gov/edocs_public/Query.do?docket=14-101</t>
  </si>
  <si>
    <t>Media General Communications, LLC</t>
  </si>
  <si>
    <t>https://www.fcc.gov/ecfs/search/filings?proceedings_name=14-137&amp;sort=date_disseminated,DESC</t>
  </si>
  <si>
    <t>https://apps.fcc.gov/edocs_public/Query.do?docket=14-137</t>
  </si>
  <si>
    <t>15-152</t>
  </si>
  <si>
    <t>https://www.fcc.gov/ecfs/search/filings?proceedings_name=15-152&amp;sort=date_disseminated,DESC</t>
  </si>
  <si>
    <t>https://apps.fcc.gov/edocs_public/Query.do?docket=15-152</t>
  </si>
  <si>
    <t>Tobacco Valley Communications</t>
  </si>
  <si>
    <t>16-246</t>
  </si>
  <si>
    <t>https://www.fcc.gov/ecfs/search/filings?proceedings_name=16-246&amp;sort=date_disseminated,DESC</t>
  </si>
  <si>
    <t>https://apps.fcc.gov/edocs_public/Query.do?docket=16-246</t>
  </si>
  <si>
    <t>Lilly Broadcasting of Pennsylvania License Subsidiary and SJL of Pennsylvania License Subsidiary, LLC</t>
  </si>
  <si>
    <t>16-258</t>
  </si>
  <si>
    <t>https://www.fcc.gov/ecfs/search/filings?proceedings_name=16-258&amp;sort=date_disseminated,DESC</t>
  </si>
  <si>
    <t>https://apps.fcc.gov/edocs_public/Query.do?docket=16-258</t>
  </si>
  <si>
    <t>16-274</t>
  </si>
  <si>
    <t>https://www.fcc.gov/ecfs/search/filings?proceedings_name=16-274&amp;sort=date_disseminated,DESC</t>
  </si>
  <si>
    <t>https://apps.fcc.gov/edocs_public/Query.do?docket=16-274</t>
  </si>
  <si>
    <t>City of Charleston, Charleston, West Virginia</t>
  </si>
  <si>
    <t>16-293</t>
  </si>
  <si>
    <t>https://www.fcc.gov/ecfs/search/filings?proceedings_name=16-293&amp;sort=date_disseminated,DESC</t>
  </si>
  <si>
    <t>https://apps.fcc.gov/edocs_public/Query.do?docket=16-293</t>
  </si>
  <si>
    <t>Gray Television License, LLC</t>
  </si>
  <si>
    <t>16-416</t>
  </si>
  <si>
    <t>https://www.fcc.gov/ecfs/search/filings?proceedings_name=16-416&amp;sort=date_disseminated,DESC</t>
  </si>
  <si>
    <t>https://apps.fcc.gov/edocs_public/Query.do?docket=16-416</t>
  </si>
  <si>
    <t>Victory Television Network, Inc.</t>
  </si>
  <si>
    <t>16-69</t>
  </si>
  <si>
    <t>https://www.fcc.gov/ecfs/search/filings?proceedings_name=16-69&amp;sort=date_disseminated,DESC</t>
  </si>
  <si>
    <t>https://apps.fcc.gov/edocs_public/Query.do?docket=16-69</t>
  </si>
  <si>
    <t>Parker Broadcasting of Dakota License, LLC</t>
  </si>
  <si>
    <t>17-102</t>
  </si>
  <si>
    <t>https://www.fcc.gov/ecfs/search/filings?proceedings_name=17-102&amp;sort=date_disseminated,DESC</t>
  </si>
  <si>
    <t>https://apps.fcc.gov/edocs_public/Query.do?docket=17-102</t>
  </si>
  <si>
    <t>17-109</t>
  </si>
  <si>
    <t>https://www.fcc.gov/ecfs/search/filings?proceedings_name=17-109&amp;sort=date_disseminated,DESC</t>
  </si>
  <si>
    <t>https://apps.fcc.gov/edocs_public/Query.do?docket=17-109</t>
  </si>
  <si>
    <t>WSBS Licensing, Inc.</t>
  </si>
  <si>
    <t>17-157</t>
  </si>
  <si>
    <t>https://www.fcc.gov/ecfs/search/filings?proceedings_name=17-157&amp;sort=date_disseminated,DESC</t>
  </si>
  <si>
    <t>https://apps.fcc.gov/edocs_public/Query.do?docket=17-157</t>
  </si>
  <si>
    <t>17-2</t>
  </si>
  <si>
    <t>https://www.fcc.gov/ecfs/search/filings?proceedings_name=17-2&amp;sort=date_disseminated,DESC</t>
  </si>
  <si>
    <t>https://apps.fcc.gov/edocs_public/Query.do?docket=17-2</t>
  </si>
  <si>
    <t>Ellington Broadcasting</t>
  </si>
  <si>
    <t>17-274</t>
  </si>
  <si>
    <t>https://www.fcc.gov/ecfs/search/filings?proceedings_name=17-274&amp;sort=date_disseminated,DESC</t>
  </si>
  <si>
    <t>https://apps.fcc.gov/edocs_public/Query.do?docket=17-274</t>
  </si>
  <si>
    <t>Monongalia County, West Virginia and Preston County, West Virginia (WBOY-TV)</t>
  </si>
  <si>
    <t>17-275</t>
  </si>
  <si>
    <t>https://www.fcc.gov/ecfs/search/filings?proceedings_name=17-275&amp;sort=date_disseminated,DESC</t>
  </si>
  <si>
    <t>https://apps.fcc.gov/edocs_public/Query.do?docket=17-275</t>
  </si>
  <si>
    <t>Monongalia County, West Virginia and Preston County, West Virginia (WDTV and WVFX-TV)</t>
  </si>
  <si>
    <t>17-361</t>
  </si>
  <si>
    <t>https://www.fcc.gov/ecfs/search/filings?proceedings_name=17-361&amp;sort=date_disseminated,DESC</t>
  </si>
  <si>
    <t>https://apps.fcc.gov/edocs_public/Query.do?docket=17-361</t>
  </si>
  <si>
    <t>Wave Division Holdings, LLC and Astound Broadband, LLC</t>
  </si>
  <si>
    <t>17-58</t>
  </si>
  <si>
    <t>https://www.fcc.gov/ecfs/search/filings?proceedings_name=17-58&amp;sort=date_disseminated,DESC</t>
  </si>
  <si>
    <t>https://apps.fcc.gov/edocs_public/Query.do?docket=17-58</t>
  </si>
  <si>
    <t>17-96</t>
  </si>
  <si>
    <t>https://www.fcc.gov/ecfs/search/filings?proceedings_name=17-96&amp;sort=date_disseminated,DESC</t>
  </si>
  <si>
    <t>https://apps.fcc.gov/edocs_public/Query.do?docket=17-96</t>
  </si>
  <si>
    <t>12-132</t>
  </si>
  <si>
    <t>5/31/2012</t>
  </si>
  <si>
    <t>4/16/2015</t>
  </si>
  <si>
    <t>10-123</t>
  </si>
  <si>
    <t>6/4/2010</t>
  </si>
  <si>
    <t>7/25/2015</t>
  </si>
  <si>
    <t>10-152</t>
  </si>
  <si>
    <t>7/28/2010</t>
  </si>
  <si>
    <t>4/14/2014</t>
  </si>
  <si>
    <t>9/28/2015</t>
  </si>
  <si>
    <t>11/19/2013</t>
  </si>
  <si>
    <t>14-99</t>
  </si>
  <si>
    <t>Model City for Demonstrating and Evaluating advanced Sharing Technologies</t>
  </si>
  <si>
    <t>6/30/2014</t>
  </si>
  <si>
    <t>4/13/2015</t>
  </si>
  <si>
    <t>2/5/2015</t>
  </si>
  <si>
    <t>Office of Managing Director</t>
  </si>
  <si>
    <t>09-65</t>
  </si>
  <si>
    <t>5/14/2009</t>
  </si>
  <si>
    <t>5/29/2013</t>
  </si>
  <si>
    <t>10-87</t>
  </si>
  <si>
    <t>4/30/2010</t>
  </si>
  <si>
    <t>6/13/2013</t>
  </si>
  <si>
    <t>11-76</t>
  </si>
  <si>
    <t>5/3/2011</t>
  </si>
  <si>
    <t>12-116</t>
  </si>
  <si>
    <t>In the Matter of Assessment and Collection of Regulatory Fees for Fiscal Year 2012</t>
  </si>
  <si>
    <t>5/3/2012</t>
  </si>
  <si>
    <t>13-140</t>
  </si>
  <si>
    <t>6/5/2013</t>
  </si>
  <si>
    <t>5/15/2015</t>
  </si>
  <si>
    <t>13-83</t>
  </si>
  <si>
    <t>NOTIFICATION OF APPLICATION FOR CERTIFICATION AS AN ACCOUNTING AUTHORITY</t>
  </si>
  <si>
    <t>3/27/2013</t>
  </si>
  <si>
    <t>8/9/2013</t>
  </si>
  <si>
    <t>14-151</t>
  </si>
  <si>
    <t>Notification of Application for Certification as an Accounting Authority</t>
  </si>
  <si>
    <t>9/9/2014</t>
  </si>
  <si>
    <t>9/10/2014</t>
  </si>
  <si>
    <t>14-92</t>
  </si>
  <si>
    <t>Assessment and Collection of Regulatory Fees for Fiscal Year 2014 et al.</t>
  </si>
  <si>
    <t>6/12/2014</t>
  </si>
  <si>
    <t>15-121</t>
  </si>
  <si>
    <t>Fiscal year 2015</t>
  </si>
  <si>
    <t>3/14/2016</t>
  </si>
  <si>
    <t>12/23/2015</t>
  </si>
  <si>
    <t>General (Multiple Bureaus)</t>
  </si>
  <si>
    <t>3/16/2016</t>
  </si>
  <si>
    <t>9/5/2014</t>
  </si>
  <si>
    <t>3/19/2015</t>
  </si>
  <si>
    <t>7/7/2015</t>
  </si>
  <si>
    <t>10/22/1991</t>
  </si>
  <si>
    <t>11/4/2014</t>
  </si>
  <si>
    <t>RM-11514</t>
  </si>
  <si>
    <t>Section 90.242</t>
  </si>
  <si>
    <t>2/18/2009</t>
  </si>
  <si>
    <t>3/26/2015</t>
  </si>
  <si>
    <t>RM-11635</t>
  </si>
  <si>
    <t>Modification of Section 90.20(d)(24) and 90.65 of the Commission's Rules to Facilitate the Use of Vehicular Repeater Units</t>
  </si>
  <si>
    <t>7/19/2011</t>
  </si>
  <si>
    <t>Common Carrier Bureau</t>
  </si>
  <si>
    <t>12/16/2015</t>
  </si>
  <si>
    <t>Wireline Competition Bureau</t>
  </si>
  <si>
    <t>05-176</t>
  </si>
  <si>
    <t>4/20/2005</t>
  </si>
  <si>
    <t>6/7/2005</t>
  </si>
  <si>
    <t>05-281</t>
  </si>
  <si>
    <t>10/4/2005</t>
  </si>
  <si>
    <t>5/1/2015</t>
  </si>
  <si>
    <t>06-90</t>
  </si>
  <si>
    <t>4/18/2006</t>
  </si>
  <si>
    <t>10/5/2009</t>
  </si>
  <si>
    <t>07-139</t>
  </si>
  <si>
    <t>7/11/2007</t>
  </si>
  <si>
    <t>07-142</t>
  </si>
  <si>
    <t>7/12/2007</t>
  </si>
  <si>
    <t>3/8/2012</t>
  </si>
  <si>
    <t>07-31</t>
  </si>
  <si>
    <t>2/20/2007</t>
  </si>
  <si>
    <t>7/13/2012</t>
  </si>
  <si>
    <t>07-38</t>
  </si>
  <si>
    <t>2/27/2007</t>
  </si>
  <si>
    <t>07-97</t>
  </si>
  <si>
    <t>5/8/2007</t>
  </si>
  <si>
    <t>08-190</t>
  </si>
  <si>
    <t>9/8/2008</t>
  </si>
  <si>
    <t>08-225</t>
  </si>
  <si>
    <t>Wireline Competition Bureau Seeks Comment on Petition of United States Telecom Associations for Waiver from Application of the Equal Access Scripting Requirement</t>
  </si>
  <si>
    <t>11/17/2008</t>
  </si>
  <si>
    <t>08-24</t>
  </si>
  <si>
    <t>2/19/2008</t>
  </si>
  <si>
    <t>08-49</t>
  </si>
  <si>
    <t>4/7/2008</t>
  </si>
  <si>
    <t>09-135</t>
  </si>
  <si>
    <t>7/29/2009</t>
  </si>
  <si>
    <t>3/1/2016</t>
  </si>
  <si>
    <t>09-176</t>
  </si>
  <si>
    <t>3/8/2011</t>
  </si>
  <si>
    <t>09-206</t>
  </si>
  <si>
    <t>11/19/2009</t>
  </si>
  <si>
    <t>09-47</t>
  </si>
  <si>
    <t>3/31/2009</t>
  </si>
  <si>
    <t>12/7/2012</t>
  </si>
  <si>
    <t>10-132</t>
  </si>
  <si>
    <t>6/29/2010</t>
  </si>
  <si>
    <t>10-222</t>
  </si>
  <si>
    <t>10/28/2010</t>
  </si>
  <si>
    <t>10-66</t>
  </si>
  <si>
    <t>3/16/2010</t>
  </si>
  <si>
    <t>2/3/2011</t>
  </si>
  <si>
    <t>11-39</t>
  </si>
  <si>
    <t>2/28/2011</t>
  </si>
  <si>
    <t>3/12/2014</t>
  </si>
  <si>
    <t>11-95</t>
  </si>
  <si>
    <t>5/31/2011</t>
  </si>
  <si>
    <t>11/26/2014</t>
  </si>
  <si>
    <t>12-105</t>
  </si>
  <si>
    <t>WIRELINE COMPETITION BUREAU SEEKS COMMENT ON SPRINT PETITION FOR DECLARATORY RULING ON VOIP ORIGINATED TRAFFIC</t>
  </si>
  <si>
    <t>4/19/2012</t>
  </si>
  <si>
    <t>7/16/2012</t>
  </si>
  <si>
    <t>12-23</t>
  </si>
  <si>
    <t>Advancing Broadband Availability for Low-Income Americans Through Digital Literacy Training</t>
  </si>
  <si>
    <t>1/31/2012</t>
  </si>
  <si>
    <t>3/22/2016</t>
  </si>
  <si>
    <t>12-71</t>
  </si>
  <si>
    <t>3/20/2012</t>
  </si>
  <si>
    <t>12/8/2015</t>
  </si>
  <si>
    <t>13-152</t>
  </si>
  <si>
    <t>COMMENTS INVITED ON APPLICATION OF SIGNAL POINT CORP. TO DISCONTINUE DOMESTIC TELECOMMUNICATIONS SERVICES</t>
  </si>
  <si>
    <t>6/11/2013</t>
  </si>
  <si>
    <t>8/30/2013</t>
  </si>
  <si>
    <t>13-187</t>
  </si>
  <si>
    <t>7/24/2013</t>
  </si>
  <si>
    <t>12/3/2014</t>
  </si>
  <si>
    <t>13-267</t>
  </si>
  <si>
    <t>In the Matter of Knology Provider Solutions Group, Inc. and Crosstel, Inc.</t>
  </si>
  <si>
    <t>11/12/2013</t>
  </si>
  <si>
    <t>12/27/2013</t>
  </si>
  <si>
    <t>13-278</t>
  </si>
  <si>
    <t>Comments Invited on Application of Capital Communications Consultants, Inc.</t>
  </si>
  <si>
    <t>12/20/2013</t>
  </si>
  <si>
    <t>13-298</t>
  </si>
  <si>
    <t>Comments Invited on Application of Puerto Rico Telephone Company D/B/A Claro</t>
  </si>
  <si>
    <t>12/6/2013</t>
  </si>
  <si>
    <t>14-115</t>
  </si>
  <si>
    <t>Petition of the City of Wilson, North Carolina, Pursuant to Section 706</t>
  </si>
  <si>
    <t>7/25/2014</t>
  </si>
  <si>
    <t>14-116</t>
  </si>
  <si>
    <t>Electric Power Board of Chattanooga, Tennessee</t>
  </si>
  <si>
    <t>14-134</t>
  </si>
  <si>
    <t>Transfer of Control of Expereo Holding B.V. and CETP III Expereo S.a.r.l., the Carlyle entity</t>
  </si>
  <si>
    <t>8/26/2014</t>
  </si>
  <si>
    <t>2/10/2015</t>
  </si>
  <si>
    <t>14-224</t>
  </si>
  <si>
    <t>Diller Telephone Company and William R. Sandman Revocable Trust</t>
  </si>
  <si>
    <t>14-230</t>
  </si>
  <si>
    <t>Comments Invited On Application Of Cincinnati Bell Telephone Company, LLC To Discontinue Domestic Telecommunications Services</t>
  </si>
  <si>
    <t>14-231</t>
  </si>
  <si>
    <t>14-232</t>
  </si>
  <si>
    <t>14-233</t>
  </si>
  <si>
    <t>14-239</t>
  </si>
  <si>
    <t>In the Matter of Section 63.71 Application of RigNet Satcom, Inc.</t>
  </si>
  <si>
    <t>1/27/2015</t>
  </si>
  <si>
    <t>14-242</t>
  </si>
  <si>
    <t>Comments Invited On Application Of Charter Fiberlink - Missouri, LLC To Discontinue Domestic Telecommunications Services</t>
  </si>
  <si>
    <t>14-244</t>
  </si>
  <si>
    <t>Comments Invited On Application Of CenturyLink To Discontinue Domestic Telecommunications Services</t>
  </si>
  <si>
    <t>14-248</t>
  </si>
  <si>
    <t>IPC Corp. and Centerbridge Capital Partners II, L.P.</t>
  </si>
  <si>
    <t>14-249</t>
  </si>
  <si>
    <t>Comments Invited On Application Of AT&amp;T Services, Inc. On Behalf Of AT&amp;T Corp. To Discontinue Interconnected VoIP Services</t>
  </si>
  <si>
    <t>12/9/2014</t>
  </si>
  <si>
    <t>14-251</t>
  </si>
  <si>
    <t>Comments Invited On Application of CenturyLink On Behalf of CenturyLink Communications, LLC To Discontinue Interconnected VOIP Services</t>
  </si>
  <si>
    <t>14-264</t>
  </si>
  <si>
    <t>Comments Invited On Application Of Cincinnati Bell Telephone Company LLC To Discontinue Domestic Telecommunications Services</t>
  </si>
  <si>
    <t>12/30/2014</t>
  </si>
  <si>
    <t>14-266</t>
  </si>
  <si>
    <t>3/23/2015</t>
  </si>
  <si>
    <t>14-269</t>
  </si>
  <si>
    <t>Domestic Sec. 214 App. BPM, Inc. d/b/a Noxapater Telephone Company- The Nova Telephone Company</t>
  </si>
  <si>
    <t>1/1/2015</t>
  </si>
  <si>
    <t>6/17/2015</t>
  </si>
  <si>
    <t>6/30/2015</t>
  </si>
  <si>
    <t>14-52</t>
  </si>
  <si>
    <t>In the Matter of Petition for Declaratory Ruling of Mediacom Communications Corporation</t>
  </si>
  <si>
    <t>3/27/2014</t>
  </si>
  <si>
    <t>14-63</t>
  </si>
  <si>
    <t>In the Matter of JetBlue Airways Corporation and Thales Holding Corporation</t>
  </si>
  <si>
    <t>9/29/2014</t>
  </si>
  <si>
    <t>15-100</t>
  </si>
  <si>
    <t>In the Matter of Telscape Communications, Inc. and Blue Casa Telephone, LLC</t>
  </si>
  <si>
    <t>4/24/2015</t>
  </si>
  <si>
    <t>6/1/2015</t>
  </si>
  <si>
    <t>15-112</t>
  </si>
  <si>
    <t>5/7/2015</t>
  </si>
  <si>
    <t>6/15/2015</t>
  </si>
  <si>
    <t>15-113</t>
  </si>
  <si>
    <t>In the Matter of the Application of Fibertech Holdings Corp. Fiber Technologies Networks, LLC and Sidera Networks, Inc.</t>
  </si>
  <si>
    <t>5/11/2015</t>
  </si>
  <si>
    <t>9/11/2015</t>
  </si>
  <si>
    <t>15-116</t>
  </si>
  <si>
    <t>Comments Invited On Application Of Broadview Networks, Inc. To Discontinue Domestic Telecommunications Services</t>
  </si>
  <si>
    <t>5/20/2015</t>
  </si>
  <si>
    <t>15-117</t>
  </si>
  <si>
    <t>Comments Invited On Application Of Clearwire Corporation To Discontinue Interconnected VoIP Services</t>
  </si>
  <si>
    <t>15-122</t>
  </si>
  <si>
    <t>Wireline Competition Bureau Short Term Network Change Notification Filed By CenturyLink (Qwest)</t>
  </si>
  <si>
    <t>5/26/2015</t>
  </si>
  <si>
    <t>15-123</t>
  </si>
  <si>
    <t>DOMESTIC SECTION 214 APPLICATION FILED FOR THE TRANSFER OF CONTROL OF QUANTA SERVICES, INC TO CROWN CASTLE OPERATING COMPANY</t>
  </si>
  <si>
    <t>5/27/2015</t>
  </si>
  <si>
    <t>15-124</t>
  </si>
  <si>
    <t>Comments Invited On Application Of TeleStride, LLC To Discontinue Domestic Telecommunications Services</t>
  </si>
  <si>
    <t>6/3/2015</t>
  </si>
  <si>
    <t>15-127</t>
  </si>
  <si>
    <t>15-128</t>
  </si>
  <si>
    <t>Comments Invited On Application Of Broadwing, LLC To Discontinue Domestic Telecommunications Services</t>
  </si>
  <si>
    <t>6/8/2015</t>
  </si>
  <si>
    <t>6/12/2015</t>
  </si>
  <si>
    <t>15-129</t>
  </si>
  <si>
    <t>Comments Invited On Application Of Level 3 Communications, LLC To Discontinue Domestic Telecommunications Services</t>
  </si>
  <si>
    <t>6/9/2015</t>
  </si>
  <si>
    <t>6/29/2015</t>
  </si>
  <si>
    <t>15-131</t>
  </si>
  <si>
    <t>8/4/2015</t>
  </si>
  <si>
    <t>15-136</t>
  </si>
  <si>
    <t>1/16/2016</t>
  </si>
  <si>
    <t>15-138</t>
  </si>
  <si>
    <t>Transfer of Ownership and Control of Broadvox-CLEC, LLC to Onvoy, LLC</t>
  </si>
  <si>
    <t>15-139</t>
  </si>
  <si>
    <t>In the Matter of Birch Communications, Inc. and Sage Telecom Communications, LLC</t>
  </si>
  <si>
    <t>15-14</t>
  </si>
  <si>
    <t>In the Matter of XAND CLEC, LLC and TierPoint, LLC</t>
  </si>
  <si>
    <t>1/20/2015</t>
  </si>
  <si>
    <t>5/18/2015</t>
  </si>
  <si>
    <t>15-140</t>
  </si>
  <si>
    <t>Wireline Competition Bureau Short Term Network Change Notification Filed By BellSouth Telecommunications, LLC D/B/A AT&amp;T Mississippi</t>
  </si>
  <si>
    <t>15-141</t>
  </si>
  <si>
    <t>15-143</t>
  </si>
  <si>
    <t>6/16/2015</t>
  </si>
  <si>
    <t>15-144</t>
  </si>
  <si>
    <t>15-15</t>
  </si>
  <si>
    <t>Comments Invited On Application Of Global Crossing Telecommunications, Inc. To Discontinue Domestic Telecommunications Services</t>
  </si>
  <si>
    <t>15-150</t>
  </si>
  <si>
    <t>Comments Invited On Application Of Rye Telephone Company To Discontinue Domestic Telecommunications Services</t>
  </si>
  <si>
    <t>15-154</t>
  </si>
  <si>
    <t>Wireline Competition Bureau Short Term Network Change Notification Filed By Northern New England Telephone Operations LLC D/B/A FairPoint Communications-NNE</t>
  </si>
  <si>
    <t>15-155</t>
  </si>
  <si>
    <t>15-159</t>
  </si>
  <si>
    <t>Comments Invited On Application Of Qwest Corporation D/B/A CenturyLink QC To Discontinue Domestic Telecommunications Services</t>
  </si>
  <si>
    <t>7/2/2015</t>
  </si>
  <si>
    <t>15-160</t>
  </si>
  <si>
    <t>Comments Invited On Application Of Ogden Telephone Company To Discontinue Domestic Telecommunications Services</t>
  </si>
  <si>
    <t>7/6/2015</t>
  </si>
  <si>
    <t>15-161</t>
  </si>
  <si>
    <t>Comments Invited On Application Of Carr Telephone Company To Discontinue Domestic Telecommunications Services</t>
  </si>
  <si>
    <t>7/8/2015</t>
  </si>
  <si>
    <t>15-163</t>
  </si>
  <si>
    <t>In the Matter of HyperCube Telecom, LLC, West IP Communications, Inc., and West Corporation</t>
  </si>
  <si>
    <t>8/20/2015</t>
  </si>
  <si>
    <t>15-164</t>
  </si>
  <si>
    <t>Comments Invited On Application Of Mohave Cooperative Services, Inc. To Discontinue Interconnected VOIP Services</t>
  </si>
  <si>
    <t>7/9/2015</t>
  </si>
  <si>
    <t>15-168</t>
  </si>
  <si>
    <t>7/16/2015</t>
  </si>
  <si>
    <t>15-169</t>
  </si>
  <si>
    <t>Comments Invited On Application Of Charter Advanced Services (MO), LLC To Discontinue Interconnected VOIP Services</t>
  </si>
  <si>
    <t>15-171</t>
  </si>
  <si>
    <t>In the Matter of Sierra Telephone Company, Inc. and Sierra Telephone Long Distance Harry H. Baker, Jr. John H. Baker</t>
  </si>
  <si>
    <t>7/21/2015</t>
  </si>
  <si>
    <t>8/24/2015</t>
  </si>
  <si>
    <t>15-172</t>
  </si>
  <si>
    <t>Wireline Competition Bureau Network Change Notification Filed By BellSouth Telecommunications, LLC D/B/A AT&amp;T 9 States Region</t>
  </si>
  <si>
    <t>7/22/2015</t>
  </si>
  <si>
    <t>7/23/2015</t>
  </si>
  <si>
    <t>15-174</t>
  </si>
  <si>
    <t>Wireline Competition Bureau Network Change Notification Filed By AT&amp;T 12 States</t>
  </si>
  <si>
    <t>15-175</t>
  </si>
  <si>
    <t>15-176</t>
  </si>
  <si>
    <t>Comments Invited On Application Of ACOMM Inc. To Discontinue Domestic Telecommunications Services</t>
  </si>
  <si>
    <t>8/7/2015</t>
  </si>
  <si>
    <t>15-177</t>
  </si>
  <si>
    <t>Comments Invited On Application Of VEZA Telecom, Inc. To Discontinue Domestic Telecommunications Services</t>
  </si>
  <si>
    <t>9/8/2015</t>
  </si>
  <si>
    <t>15-179</t>
  </si>
  <si>
    <t>7/28/2015</t>
  </si>
  <si>
    <t>15-182</t>
  </si>
  <si>
    <t>Wireline Competition Bureau Short Term Network Change Notification Filed By Verizon Pennsylvania LLC</t>
  </si>
  <si>
    <t>15-183</t>
  </si>
  <si>
    <t>Comments Invited On Application Of Fidelity Communications Services III, Inc. To Discontinue Domestic Telecommunications Services</t>
  </si>
  <si>
    <t>15-185</t>
  </si>
  <si>
    <t>Comments Invited On Application Of MyTeam1, LLC To Discontinue Domestic Telecommunications Services</t>
  </si>
  <si>
    <t>8/21/2015</t>
  </si>
  <si>
    <t>15-187</t>
  </si>
  <si>
    <t>Wireline Competition Bureau Short Term Network Change Notification Filed By Northern New England Telephone Operations LLC D/B/A FairPoint Communications-Maine</t>
  </si>
  <si>
    <t>15-188</t>
  </si>
  <si>
    <t>DOMESTIC SECTION 214 APPLICATION FILED FOR THE TRANSFER OF CONTROL OF SAPINA QUAYUM AND MONOTAZ BEGUM TO ROMAN LD, INC.</t>
  </si>
  <si>
    <t>8/3/2015</t>
  </si>
  <si>
    <t>15-189</t>
  </si>
  <si>
    <t>In the Matter of the Application of Odyssey Acquisition, LLC and ExteNet Holdings, Inc.</t>
  </si>
  <si>
    <t>12/2/2015</t>
  </si>
  <si>
    <t>15-19</t>
  </si>
  <si>
    <t>Comments Invited On Application Of TW Telecom Of Tennessee LLC To Discontinue Domestic Telecommunications Services</t>
  </si>
  <si>
    <t>12/21/2015</t>
  </si>
  <si>
    <t>15-193</t>
  </si>
  <si>
    <t>8/11/2015</t>
  </si>
  <si>
    <t>15-194</t>
  </si>
  <si>
    <t>15-195</t>
  </si>
  <si>
    <t>15-196</t>
  </si>
  <si>
    <t>Comments Invited On Application Of AT&amp;T Services, Inc. On Behalf Of SBC Long Distance, LLC D/B/A AT&amp;T Long Distance To Discontinue Domestic Telecommunications Services</t>
  </si>
  <si>
    <t>8/17/2015</t>
  </si>
  <si>
    <t>15-198</t>
  </si>
  <si>
    <t>8/18/2015</t>
  </si>
  <si>
    <t>15-200</t>
  </si>
  <si>
    <t>15-201</t>
  </si>
  <si>
    <t>Wireline Competition Bureau Short Term Network Change Notification Filed by Verizon New Jersey Inc.</t>
  </si>
  <si>
    <t>15-202</t>
  </si>
  <si>
    <t>In the Matter of the Application of opticAccess, LLC to Integra Telecom Holdings, Inc.</t>
  </si>
  <si>
    <t>15-203</t>
  </si>
  <si>
    <t>DOMESTIC SECTION 214 APPLICATION FILED FOR THE TRANSFER OF CONTROL OF TC3 TELECOM, INC. FROM THE JOSEPH P. MATTAUSCH AGREEMENT OF TRUST TO D&amp;P COMMUNICATIONS, INC.</t>
  </si>
  <si>
    <t>8/25/2015</t>
  </si>
  <si>
    <t>15-204</t>
  </si>
  <si>
    <t>15-205</t>
  </si>
  <si>
    <t>Comments Invited On Application Of Mid-Plains Rural Telephone Cooperative, Inc. To Discontinue Domestic Telecommunications Services</t>
  </si>
  <si>
    <t>8/26/2015</t>
  </si>
  <si>
    <t>8/28/2015</t>
  </si>
  <si>
    <t>15-207</t>
  </si>
  <si>
    <t>11/20/2015</t>
  </si>
  <si>
    <t>15-208</t>
  </si>
  <si>
    <t>Comments Invited On Section 214 Applications To Discontinue Domestic Telecommunications Services Or Interconnected VoIP Services</t>
  </si>
  <si>
    <t>10/2/2015</t>
  </si>
  <si>
    <t>15-209</t>
  </si>
  <si>
    <t>15-211</t>
  </si>
  <si>
    <t>Comments Invited On Section 214 Applications To Discontinue Domestic Telecommunications Services</t>
  </si>
  <si>
    <t>9/14/2015</t>
  </si>
  <si>
    <t>15-212</t>
  </si>
  <si>
    <t>9/2/2015</t>
  </si>
  <si>
    <t>15-213</t>
  </si>
  <si>
    <t>Wireline Competition Bureau Short Term Network Change Notification Filed By AT&amp;T 12 States Region</t>
  </si>
  <si>
    <t>15-214</t>
  </si>
  <si>
    <t>Wireline Competition Bureau Short Term Network Change Notification Filed By AT&amp;T California</t>
  </si>
  <si>
    <t>15-217</t>
  </si>
  <si>
    <t>In the Matter of the Application of TDS Telecommunications Corp. d/b/a TDS Telecom and Ark-O Holding Company</t>
  </si>
  <si>
    <t>15-219</t>
  </si>
  <si>
    <t>Wireline Competition Bureau Network Change Notification Filed By BellSouth Telecommunications, LLC D/B/A AT&amp;T Florida</t>
  </si>
  <si>
    <t>9/15/2015</t>
  </si>
  <si>
    <t>11/3/2015</t>
  </si>
  <si>
    <t>15-222</t>
  </si>
  <si>
    <t>Comments Invited On Application Of AT&amp;T Services, Inc. On Behalf Of BellSouth Telecommunications, LLC D/B/A AT&amp;T Southeast To Discontinue Domestic Telecommunications Services</t>
  </si>
  <si>
    <t>9/18/2015</t>
  </si>
  <si>
    <t>15-223</t>
  </si>
  <si>
    <t>Wireline Competition Bureau Short Term Network Change Notification Filed by Dumont Telephone Company</t>
  </si>
  <si>
    <t>9/21/2015</t>
  </si>
  <si>
    <t>15-227</t>
  </si>
  <si>
    <t>Comments Invited On Application Of Loretto Telephone Company, Inc. To Discontinue Domestic Telecommunications Services</t>
  </si>
  <si>
    <t>9/25/2015</t>
  </si>
  <si>
    <t>15-228</t>
  </si>
  <si>
    <t>15-229</t>
  </si>
  <si>
    <t>Comments Invited On Application Of S&amp;A Telephone Company, Inc. To Discontinue Domestic Telecommunications Services</t>
  </si>
  <si>
    <t>15-23</t>
  </si>
  <si>
    <t>In the Matter of The Chugwater Telephone Company and Mountain West Technologies Corporation</t>
  </si>
  <si>
    <t>1/29/2015</t>
  </si>
  <si>
    <t>15-230</t>
  </si>
  <si>
    <t>15-231</t>
  </si>
  <si>
    <t>Domestic Section 214 Application of Alteva, Inc. and MBS Holdings, Inc.</t>
  </si>
  <si>
    <t>15-233</t>
  </si>
  <si>
    <t>9/30/2015</t>
  </si>
  <si>
    <t>15-234</t>
  </si>
  <si>
    <t>15-235</t>
  </si>
  <si>
    <t>In the Matter of the Joint Application of LightEdge Solutions, Inc. and Alliance Connect, LLC</t>
  </si>
  <si>
    <t>3/25/2016</t>
  </si>
  <si>
    <t>15-237</t>
  </si>
  <si>
    <t>10/5/2015</t>
  </si>
  <si>
    <t>15-239</t>
  </si>
  <si>
    <t>10/6/2015</t>
  </si>
  <si>
    <t>15-240</t>
  </si>
  <si>
    <t>Wireline Competition Bureau Short Term Network Change Notification Filed By CenturyLink</t>
  </si>
  <si>
    <t>10/7/2015</t>
  </si>
  <si>
    <t>15-241</t>
  </si>
  <si>
    <t>15-243</t>
  </si>
  <si>
    <t>10/8/2015</t>
  </si>
  <si>
    <t>10/9/2015</t>
  </si>
  <si>
    <t>15-246</t>
  </si>
  <si>
    <t>DOMESTIC SECTION 214 APPLICATION FILED FOR THE TRANSFER OF CONTROL OF ONSTAR TO GENERAL MOTORS COMPANY</t>
  </si>
  <si>
    <t>1/19/2016</t>
  </si>
  <si>
    <t>15-248</t>
  </si>
  <si>
    <t>Wireline Competition Bureau Short Term Network Change Notification Filed By ACS Of Anchorage</t>
  </si>
  <si>
    <t>10/16/2015</t>
  </si>
  <si>
    <t>10/20/2015</t>
  </si>
  <si>
    <t>15-252</t>
  </si>
  <si>
    <t>10/22/2015</t>
  </si>
  <si>
    <t>15-253</t>
  </si>
  <si>
    <t>Wireline Competition Bureau Short Term Network Change Notification Filed By Verizon Virginia LLC</t>
  </si>
  <si>
    <t>15-254</t>
  </si>
  <si>
    <t>15-260</t>
  </si>
  <si>
    <t>10/23/2015</t>
  </si>
  <si>
    <t>15-261</t>
  </si>
  <si>
    <t>Wireline Competition Bureau Short Term Network Change Notification Filed By Cascade Communications Company</t>
  </si>
  <si>
    <t>15-263</t>
  </si>
  <si>
    <t>In the Matter of the Joint Application of Midstate Communications, Inc. and North Dakota Telephone Company</t>
  </si>
  <si>
    <t>10/29/2015</t>
  </si>
  <si>
    <t>12/22/2015</t>
  </si>
  <si>
    <t>15-268</t>
  </si>
  <si>
    <t>15-269</t>
  </si>
  <si>
    <t>3/16/2015</t>
  </si>
  <si>
    <t>15-273</t>
  </si>
  <si>
    <t>15-278</t>
  </si>
  <si>
    <t>Comments Invited On Application Of AT&amp;T Services, Inc. On Behalf Of BellSouth Telecommunications, LLC D/B/A AT&amp;T Southeast To Discontinue Domestic Telecommunications Services In Accordance With The Technology Transitions Order</t>
  </si>
  <si>
    <t>15-279</t>
  </si>
  <si>
    <t>15-286</t>
  </si>
  <si>
    <t>11/23/2015</t>
  </si>
  <si>
    <t>15-287</t>
  </si>
  <si>
    <t>Comments Invited On Section 214 Applications To Discontinue Domestic Telecommunications Services Or Interconnected VOIP Services</t>
  </si>
  <si>
    <t>15-29</t>
  </si>
  <si>
    <t>Joint 214 Application Grasshopper Group, LLC,-Citrix Systems, Inc.</t>
  </si>
  <si>
    <t>15-296</t>
  </si>
  <si>
    <t>11/30/2015</t>
  </si>
  <si>
    <t>12/1/2015</t>
  </si>
  <si>
    <t>15-303</t>
  </si>
  <si>
    <t>Wireline Competition Bureau Short Term Network Change Notification Filed By BellSouth Telecommunications, LLC D/B/A AT&amp;T 9 States</t>
  </si>
  <si>
    <t>15-304</t>
  </si>
  <si>
    <t>Wireline Competition Bureau Short Term Network Change Notification Filed By AT&amp;T 12 States</t>
  </si>
  <si>
    <t>15-305</t>
  </si>
  <si>
    <t>15-307</t>
  </si>
  <si>
    <t>15-308</t>
  </si>
  <si>
    <t>Wireline Competition Bureau Short Term Network Change Notification Filed By BellSouth Telecommunications LLC D/B/A AT&amp;T 9 States</t>
  </si>
  <si>
    <t>15-309</t>
  </si>
  <si>
    <t>15-31</t>
  </si>
  <si>
    <t>15-310</t>
  </si>
  <si>
    <t>15-311</t>
  </si>
  <si>
    <t>15-312</t>
  </si>
  <si>
    <t>Wireline Competition Bureau Short Term Network Change Notification Filed By Frontier Communications</t>
  </si>
  <si>
    <t>15-323</t>
  </si>
  <si>
    <t>12/17/2015</t>
  </si>
  <si>
    <t>15-35</t>
  </si>
  <si>
    <t>DOMESTIC SECTION 214 APPLICATION FILED FOR THE TRANSFER OF CONTROL OF YUKON TELEPHONE COMPANY, INC. TO UNITED UTILITIES, INC.</t>
  </si>
  <si>
    <t>5/13/2015</t>
  </si>
  <si>
    <t>15-38</t>
  </si>
  <si>
    <t>Comments Invited On Application Of AT&amp;T Services, Inc. On Behalf Of BellSouth Telecommunications, LLC Et. Al To Discontinue Domestic Telecommunications Services</t>
  </si>
  <si>
    <t>15-39</t>
  </si>
  <si>
    <t>2/19/2015</t>
  </si>
  <si>
    <t>15-4</t>
  </si>
  <si>
    <t>Comments Invited On Application Of Nexus Communications, Inc. D/B/A TSI And TSI Telephone Company To Discontinue Domestic Telecommunications Services</t>
  </si>
  <si>
    <t>1/12/2015</t>
  </si>
  <si>
    <t>2/23/2015</t>
  </si>
  <si>
    <t>15-49</t>
  </si>
  <si>
    <t>Comments Invited On Application Of TW Telecom Holdings, LLC To Discontinue Domestic Telecommunications Services</t>
  </si>
  <si>
    <t>15-5</t>
  </si>
  <si>
    <t>Domestic Section 214 Application filed for the Transfer of Control of TDS Telecom to RiverStreet Networks LLC</t>
  </si>
  <si>
    <t>1/13/2015</t>
  </si>
  <si>
    <t>15-50</t>
  </si>
  <si>
    <t>Comments Invited On Application Of TelCove Operations, LLC To Discontinue Domestic Telecommunications Services</t>
  </si>
  <si>
    <t>3/11/2015</t>
  </si>
  <si>
    <t>15-51</t>
  </si>
  <si>
    <t>15-6</t>
  </si>
  <si>
    <t>In the Matter of IBFA Acquisition Company, LLC and First Choice Technology, Inc.</t>
  </si>
  <si>
    <t>2/20/2015</t>
  </si>
  <si>
    <t>15-61</t>
  </si>
  <si>
    <t>15-62</t>
  </si>
  <si>
    <t>15-63</t>
  </si>
  <si>
    <t>15-66</t>
  </si>
  <si>
    <t>Wireline Competition Bureau Short Term Network Change Notification Filed By BellSouth Telecommunications, LLC D/B/A AT&amp;T Georgia</t>
  </si>
  <si>
    <t>3/17/2015</t>
  </si>
  <si>
    <t>3/24/2015</t>
  </si>
  <si>
    <t>15-76</t>
  </si>
  <si>
    <t>Comments Invited On Application Of CustomTeleconnect, Inc. To Discontinue Domestic Telecommunications Services</t>
  </si>
  <si>
    <t>15-77</t>
  </si>
  <si>
    <t>15-83</t>
  </si>
  <si>
    <t>4/2/2015</t>
  </si>
  <si>
    <t>4/3/2015</t>
  </si>
  <si>
    <t>15-84</t>
  </si>
  <si>
    <t>15-89</t>
  </si>
  <si>
    <t>Comments Invited On Application Of AT&amp;T Corp. To Discontinue Domestic Telecommunications Services</t>
  </si>
  <si>
    <t>15-93</t>
  </si>
  <si>
    <t>15-95</t>
  </si>
  <si>
    <t>4/17/2015</t>
  </si>
  <si>
    <t>15-96</t>
  </si>
  <si>
    <t>Comments Invited On Application Of TDS Metrocom LLC To Discontinue Interconnected VOIP Services</t>
  </si>
  <si>
    <t>16-13</t>
  </si>
  <si>
    <t>Comments Invited On Application Of AT&amp;T Services, Inc. On Behalf Of AT&amp;T Alaska d/b/a AT&amp;T Corp.; AT&amp;T Communications Of Indiana, LLC d/b/a AT&amp;T Corp.; Et Al. To Discontinue Domestic Telecommunications Services</t>
  </si>
  <si>
    <t>1/13/2016</t>
  </si>
  <si>
    <t>16-17</t>
  </si>
  <si>
    <t>Wireline Competition Bureau Network Change Notification Filed By BellSouth Telecommunications, LLC D/B/A AT&amp;T Georgia</t>
  </si>
  <si>
    <t>1/20/2016</t>
  </si>
  <si>
    <t>16-18</t>
  </si>
  <si>
    <t>1/22/2016</t>
  </si>
  <si>
    <t>16-19</t>
  </si>
  <si>
    <t>Wireline Competition Bureau Network Change Notification Filed By GTE Southwest Incorporated D/B/A Verizon Southwest, Verizon California Inc., Verizon Florida LLC, And Verizon South Inc</t>
  </si>
  <si>
    <t>16-28</t>
  </si>
  <si>
    <t>2/4/2016</t>
  </si>
  <si>
    <t>2/5/2016</t>
  </si>
  <si>
    <t>16-323</t>
  </si>
  <si>
    <t>WIRELINE COMPETITION BUREAU SHORT TERM NETWORK CHANGE NOTIFICATION FILED BY CINCINNATI BELL TELEPHONE COMPANY LLC</t>
  </si>
  <si>
    <t>10/11/2016</t>
  </si>
  <si>
    <t>2/10/2016</t>
  </si>
  <si>
    <t>16-324</t>
  </si>
  <si>
    <t>16-55</t>
  </si>
  <si>
    <t>Comments Invited On Section 214 Application(s) To Discontinue Domestic Dominant Carrier Telecommunications Services</t>
  </si>
  <si>
    <t>2/25/2016</t>
  </si>
  <si>
    <t>16-58</t>
  </si>
  <si>
    <t>16-81</t>
  </si>
  <si>
    <t>Wireline Competition Bureau Short Term Network Change Notification Filed By BellSouth Telecommunications, LLC D/B/A AT&amp;T Tennessee</t>
  </si>
  <si>
    <t>16-83</t>
  </si>
  <si>
    <t>Wireline Competition Bureau Short Term Network Change Notification Filed By AT&amp;T Southwest</t>
  </si>
  <si>
    <t>16-87</t>
  </si>
  <si>
    <t>16-88</t>
  </si>
  <si>
    <t>80-634</t>
  </si>
  <si>
    <t>12/17/1998</t>
  </si>
  <si>
    <t>11/28/2000</t>
  </si>
  <si>
    <t>85-229</t>
  </si>
  <si>
    <t>11/9/2006</t>
  </si>
  <si>
    <t>86-10</t>
  </si>
  <si>
    <t>PROVISION FOR ACCESS FOR 800 SERVICE</t>
  </si>
  <si>
    <t>3/25/2010</t>
  </si>
  <si>
    <t>90-571</t>
  </si>
  <si>
    <t>TELECOMMUNICATIONS SERVICES FOR HEARING-IMPAIRED AND SPEECH- IMPAIRED INDIVIDUALS, AND THE AMERICANS WITH DISABILITIES ACT OF 1990</t>
  </si>
  <si>
    <t>4/3/2013</t>
  </si>
  <si>
    <t>92-256</t>
  </si>
  <si>
    <t>APPLICATION OF OPEN NETWORK ARCHITECTURE AND NONDISCRIMINATION SAFEGUARDS TO GTE CORPORATIONS</t>
  </si>
  <si>
    <t>12/4/1992</t>
  </si>
  <si>
    <t>7/27/2011</t>
  </si>
  <si>
    <t>92-297</t>
  </si>
  <si>
    <t>RULEMAKING TO AMEND PART 1 AND PART 21 OF THE RULES TO REDESIGNATE THE 27.5 - 29.5 GHZ FREQUENCY BAND AND TO ESTABLISH RULES AND POLICIES FOR LOCAL MULTIPOINT DISTRIBUTION SERVICE; ...ETC.</t>
  </si>
  <si>
    <t>12/29/1992</t>
  </si>
  <si>
    <t>94-158</t>
  </si>
  <si>
    <t>AMENDMENT OF POLICIES AND RULES CONCERNING OPERATOR SERVICE PROVIDERS AND CALL AGGREGATORS</t>
  </si>
  <si>
    <t>12/29/1994</t>
  </si>
  <si>
    <t>1/28/2014</t>
  </si>
  <si>
    <t>95-115</t>
  </si>
  <si>
    <t>AMENDMENT OF THE COMMISSION'S RULES AND POLICIES TO INCREASE SUBSCRIBERSHIP AND USAGE OF THE PUBLIC SWITCHED NETWORK</t>
  </si>
  <si>
    <t>7/13/1995</t>
  </si>
  <si>
    <t>1/11/2007</t>
  </si>
  <si>
    <t>RM-11391</t>
  </si>
  <si>
    <t>Section 52.1 of the CFR</t>
  </si>
  <si>
    <t>9/25/2007</t>
  </si>
  <si>
    <t>12/4/2007</t>
  </si>
  <si>
    <t>RM-11525</t>
  </si>
  <si>
    <t>3/27/2009</t>
  </si>
  <si>
    <t>5/13/2009</t>
  </si>
  <si>
    <t>RM-11535</t>
  </si>
  <si>
    <t>Amendment to Section 64.1300-1340</t>
  </si>
  <si>
    <t>6/4/2009</t>
  </si>
  <si>
    <t>7/24/2009</t>
  </si>
  <si>
    <t>RM-11703</t>
  </si>
  <si>
    <t>Universal Service Gigabit Communities Race-to-the Top Program</t>
  </si>
  <si>
    <t>8/12/2013</t>
  </si>
  <si>
    <t>9/30/2013</t>
  </si>
  <si>
    <t>RM-11757</t>
  </si>
  <si>
    <t>Consumer Watchdog Petition for Rulemaking</t>
  </si>
  <si>
    <t>03-67</t>
  </si>
  <si>
    <t>In the Matter of Further Competitive Bidding Procedures</t>
  </si>
  <si>
    <t>3/13/2003</t>
  </si>
  <si>
    <t>05-194</t>
  </si>
  <si>
    <t>5/18/2005</t>
  </si>
  <si>
    <t>8/5/2012</t>
  </si>
  <si>
    <t>07-208</t>
  </si>
  <si>
    <t>9/21/2007</t>
  </si>
  <si>
    <t>10/28/2014</t>
  </si>
  <si>
    <t>08-95</t>
  </si>
  <si>
    <t>6/25/2008</t>
  </si>
  <si>
    <t>09-104</t>
  </si>
  <si>
    <t>6/17/2009</t>
  </si>
  <si>
    <t>11-65</t>
  </si>
  <si>
    <t>4/12/2011</t>
  </si>
  <si>
    <t>12-175</t>
  </si>
  <si>
    <t>Cellco Partnership dba Verizon Wireless and T-Mobile License LLC Seek FCC Consent to the Assignment of Advanced Wireless Service Licenses</t>
  </si>
  <si>
    <t>6/26/2012</t>
  </si>
  <si>
    <t>12-187</t>
  </si>
  <si>
    <t>7/3/2012</t>
  </si>
  <si>
    <t>4/23/2015</t>
  </si>
  <si>
    <t>13-193</t>
  </si>
  <si>
    <t>Applications of Cricket License Company, LLC, et al., Leap Wireless International, Inc. and AT&amp;T Inc. for Consent To Transfer Control of Authorizations; Application of Cricket License Company, LLC and Leap Licenseco Inc. for Assignment of Authorization</t>
  </si>
  <si>
    <t>8/2/2013</t>
  </si>
  <si>
    <t>13-202</t>
  </si>
  <si>
    <t>WIRELESS TELECOMMUNICATIONS BUREAU SEEKS COMMENT ON AT&amp;T REQUEST FOR WAIVER TO PERMIT POWER SPECTRAL DENSITY MODEL FOR 800 MHz CELLULAR OPERATIONS IN THREE FLORIDA MARKETS</t>
  </si>
  <si>
    <t>13-54</t>
  </si>
  <si>
    <t>AT&amp;T Inc. and Atlantic Tele-Network Seek FCC Consent</t>
  </si>
  <si>
    <t>3/4/2013</t>
  </si>
  <si>
    <t>14-107</t>
  </si>
  <si>
    <t>WTB Seeks Comment on AT&amp;T Request to Allow Cellular PSD Model in VT</t>
  </si>
  <si>
    <t>14-133</t>
  </si>
  <si>
    <t>WIRELESS TELECOMMUNICATIONS BUREAU SEEKS COMMENT ON SPRINT WAIVER REQUEST TO PERMIT WIDEBAND OPERATIONS IN PORTIONS OF NEW MEXICO AND TEXAS NPSPAC REGIONS</t>
  </si>
  <si>
    <t>14-145</t>
  </si>
  <si>
    <t>AT&amp;T Mobility Spectrum LLC and Club 42CM Limited Partnership Seek FCC Consent to the Assignment of Two Lower 700 MHz B Block Licenses in California</t>
  </si>
  <si>
    <t>14-161</t>
  </si>
  <si>
    <t>14-167</t>
  </si>
  <si>
    <t>AT&amp;T Inc. and Kaplan Telephone Company, Inc. Seek FCC Consent to the Assignment of Cellular and Lower 700 MHz Licenses</t>
  </si>
  <si>
    <t>9/30/2014</t>
  </si>
  <si>
    <t>14-182</t>
  </si>
  <si>
    <t>Comment Sought on ERS Request to Use Central Station Alarm Channels</t>
  </si>
  <si>
    <t>10/21/2014</t>
  </si>
  <si>
    <t>1/16/2015</t>
  </si>
  <si>
    <t>14-196</t>
  </si>
  <si>
    <t>Comment Sought on Breitling Waiver Request for Wrist-Worn PLB</t>
  </si>
  <si>
    <t>14-199</t>
  </si>
  <si>
    <t>AT&amp;T INC. AND KANOKLA TELEPHONE ASSOCIATION SEEK FCC CONSENT TO THE ASSIGNMENT OF TWO LOWER 700 MHZ LICENSES IN KANSAS AND OKLAHOMA</t>
  </si>
  <si>
    <t>11/6/2014</t>
  </si>
  <si>
    <t>14-206</t>
  </si>
  <si>
    <t>AT&amp;T MOBILITY PUERTO RICO INC. AND WORLDCALL INC. SEEK FCC CONSENT TO THE ASSIGNMENT OF LOWER 700 MHZ LICENSES</t>
  </si>
  <si>
    <t>10/28/2015</t>
  </si>
  <si>
    <t>14-240</t>
  </si>
  <si>
    <t>UNITED STATES CELLULAR CORPORATION AND MCBRIDE SPECTRUM PARTNERS, LLC</t>
  </si>
  <si>
    <t>14-254</t>
  </si>
  <si>
    <t>AT&amp;T and Consolidated Telephone Company Seek FCC Consent to the Assignment of Two Lower 700 MHz C Block Licenses in Minnesota</t>
  </si>
  <si>
    <t>14-43</t>
  </si>
  <si>
    <t>Comment Sought on Globe Wireless Public Coast Station Frequency Request</t>
  </si>
  <si>
    <t>3/10/2014</t>
  </si>
  <si>
    <t>9/25/2014</t>
  </si>
  <si>
    <t>14-78</t>
  </si>
  <si>
    <t>Auction of Advanced Wireless Services Licenses Scheduled for November 13, 2014</t>
  </si>
  <si>
    <t>5/15/2014</t>
  </si>
  <si>
    <t>14-83</t>
  </si>
  <si>
    <t>AT&amp;T-Sprint WCS Assignment Application Accepted For Filing</t>
  </si>
  <si>
    <t>6/2/2014</t>
  </si>
  <si>
    <t>10/30/2014</t>
  </si>
  <si>
    <t>14-98</t>
  </si>
  <si>
    <t>Comment Sought on AAR Trackside Signal Booster Waiver Request</t>
  </si>
  <si>
    <t>6/26/2014</t>
  </si>
  <si>
    <t>15-110</t>
  </si>
  <si>
    <t>Comment Sought on McMurdo Waiver Request for EPIRB With AIS Homer</t>
  </si>
  <si>
    <t>5/6/2015</t>
  </si>
  <si>
    <t>15-125</t>
  </si>
  <si>
    <t>Wireless Telecommunications Bureau Seeks Comment on the State of Mobile Wireless Competition</t>
  </si>
  <si>
    <t>5/29/2015</t>
  </si>
  <si>
    <t>15-13</t>
  </si>
  <si>
    <t>AT&amp;T INC. AND PINE CELLULAR PHONES, INC.</t>
  </si>
  <si>
    <t>15-130</t>
  </si>
  <si>
    <t>WTB Seeks Comment on AT&amp;T Request for Waiver</t>
  </si>
  <si>
    <t>1/11/2016</t>
  </si>
  <si>
    <t>15-156</t>
  </si>
  <si>
    <t>LTE Waiver for Washington</t>
  </si>
  <si>
    <t>2/11/2016</t>
  </si>
  <si>
    <t>15-181</t>
  </si>
  <si>
    <t>AT&amp;T MOBILITY SPECTRUM LLC AND AGRI-VALLEY COMMUNICATIONS, INC. SEEK FCC CONSENT TO THE ASSIGNMENT OF SIX LOWER 700 MHZ C BLOCK LICENSES AND TWO LOWER 700 MHZ B BLOCK LICENSES IN MICHIGAN</t>
  </si>
  <si>
    <t>12/30/2015</t>
  </si>
  <si>
    <t>15-210</t>
  </si>
  <si>
    <t>Application of Cellco Partnership d/b/a Verizon Wireless and Triangle Communication System, Inc. For Approval of Long-Term Spectrum Manager Leasing Agreement</t>
  </si>
  <si>
    <t>15-221</t>
  </si>
  <si>
    <t>NEW CINGULAR WIRELESS PCS, LLC AND NEP CELLCORP, INC. SEEK FCC CONSENT TO THE ASSIGNMENT OF A LOWER 700 MHZ B BLOCK LICENSE AND A PERSONAL COMMUNICATIONS SERVICE LICENSE IN NEW YORK AND PENNSYLVANIA</t>
  </si>
  <si>
    <t>15-225</t>
  </si>
  <si>
    <t>NEW CINGULAR WIRELESS PCS, LLC, BLUEGRASS CELLULAR, INC., AND BLUEGRASS WIRELESS LLC SEEK FCC CONSENT TO THE ASSIGNMENT OF FOUR LOWER 700 MHZ B BLOCK LICENSES AND SEVEN LOWER 700 MHZ C BLOCK LICENSES IN INDIANA, KENTUCKY, AND TENNESSEE</t>
  </si>
  <si>
    <t>9/24/2015</t>
  </si>
  <si>
    <t>1/29/2016</t>
  </si>
  <si>
    <t>15-267</t>
  </si>
  <si>
    <t>AT&amp;T MOBILITY SPECTRUM LLC AND PEOPLES WIRELESS SERVICES</t>
  </si>
  <si>
    <t>1/14/2016</t>
  </si>
  <si>
    <t>15-282</t>
  </si>
  <si>
    <t>WIRELESS TELECOMMUNICATIONS BUREAU SEEKS COMMENT ON REQUESTS BY INTELLIGENT TRANSPORTATION &amp; MONITORING WIRELESS, LLC, SKYBRIDGE SPECTRUM FOUNDATION, AND V2G LLC FOR EXTENSION OF TIME TO CONSTRUCT PART 22 UHF/VHF PAGING SERVICE LICENSES</t>
  </si>
  <si>
    <t>15-3</t>
  </si>
  <si>
    <t>Auction 98 (FM Broadcast) Announced, Comment Sought</t>
  </si>
  <si>
    <t>15-48</t>
  </si>
  <si>
    <t>2/26/2016</t>
  </si>
  <si>
    <t>15-7</t>
  </si>
  <si>
    <t>TELEGUAM HOLDINGS, LLC AND CLUB 42 CM LIMITED PARTNERSHIP</t>
  </si>
  <si>
    <t>15-72</t>
  </si>
  <si>
    <t>Comment Sought Columbia County, New York Maritime Waiver Request</t>
  </si>
  <si>
    <t>15-78</t>
  </si>
  <si>
    <t>AT&amp;T-Cellular Properties, Inc.</t>
  </si>
  <si>
    <t>3/30/2015</t>
  </si>
  <si>
    <t>3/9/2016</t>
  </si>
  <si>
    <t>15-79</t>
  </si>
  <si>
    <t>AT&amp;T-East Kentucky Network, LLC</t>
  </si>
  <si>
    <t>2/1/2016</t>
  </si>
  <si>
    <t>15-85</t>
  </si>
  <si>
    <t>Comment Sought on ACR Waiver Request for PLB Without 121.5 MHz Homer</t>
  </si>
  <si>
    <t>4/6/2015</t>
  </si>
  <si>
    <t>15-86</t>
  </si>
  <si>
    <t>AT&amp;T Cellular PSD Waiver Request for Missouri Markets</t>
  </si>
  <si>
    <t>4/8/2015</t>
  </si>
  <si>
    <t>RM-11596</t>
  </si>
  <si>
    <t>Establishment of Audio Visual Warning System as New Subpart T to Part 87 of the Commission's Rules</t>
  </si>
  <si>
    <t>3/17/2010</t>
  </si>
  <si>
    <t>RM-11731</t>
  </si>
  <si>
    <t>WIRELESS TELECOMMUNCIATIONS BUREAU SEEKS COMMENT ON AT&amp;T PETITION FOR RULEMAKING REGARDING REVISION OF WCS RULES</t>
  </si>
  <si>
    <t>Bureau</t>
  </si>
  <si>
    <t>Proceeding No.</t>
  </si>
  <si>
    <t>Date of Last Standard Filing</t>
  </si>
  <si>
    <t>Total Standard Filings</t>
  </si>
  <si>
    <t xml:space="preserve">Date Created </t>
  </si>
  <si>
    <t>Communications Corporation of America (WGMB-TV) (St Francisville, Angola, LA)</t>
  </si>
  <si>
    <t>Knight Broadcasting of Baton Rouge License Corp (WVLA-TV) (West Feliciana Parish, LA)</t>
  </si>
  <si>
    <t>CoxCom LLC d/a/b Cox Communications Gainesville/Ocala and Cox Communications Gulf Coast, LLC</t>
  </si>
  <si>
    <t>Media Bureau Seeks Comment on EchoStar's Petition for Waiver of Over-the-Air Analog Tuner Requirements</t>
  </si>
  <si>
    <t>Media Bureau Seeks Comment on Petition for Class Waiver of the Commission's Sponsorship Identification Requirements filed by the Radio Broadcasters Coalition</t>
  </si>
  <si>
    <t>Woods Communications Corporation</t>
  </si>
  <si>
    <t>Verizon wireless and Rural Cellular corporation seek FCC consent to transfer control of licenses and authorizations</t>
  </si>
  <si>
    <t>WTB Announces Enhancements to the Commission's Universal Licensing System and Antenna Structure Registration System</t>
  </si>
  <si>
    <t>Wireline Competition Bureau Seeks Comment On The Petition of the FairPoint Cost Companies For Conversion Of Their Special Access Services To Price Cap Regulation And For Limited Waiver Relief</t>
  </si>
  <si>
    <t>Domestic 214 Applications Transfer of Membership Interests U.S. Connect, LLC to LCSD Holdings, Great Wireless</t>
  </si>
  <si>
    <t>Wireline Competition Bureau Short Term Network Change Notification Filed by CenturyLink (Qwest)</t>
  </si>
  <si>
    <t>Joint Application Dixon Telephone Company-Dixon Acquisition, LLC</t>
  </si>
  <si>
    <t>Comments Invited On Application Of Livingston Telephone Company To Discontinue Domestic Telecommunications Services</t>
  </si>
  <si>
    <t>In the Matter of Changes in the corporate structure and operations of the Communications Satellite Corporation</t>
  </si>
  <si>
    <t>AMENDMENT OF SECTIONS 64.702 OF THE COMMISSION'S RULES &amp; REGULATIONS(3RD COMPUTER INQUIRY); &amp; POLICY &amp; RULES CONCERNING RATES FOR COMPETITIVE COMMON CARRIER SERVICES &amp; FACILITIES AUTHORIZATIONS THEREOF</t>
  </si>
  <si>
    <t>National Association of State Utility Consumer Advocates (NASUCA) Petition for Declaratory Ruling Regarding Truth-In-Billing and Billing Format</t>
  </si>
  <si>
    <t>Entercom Communications Corp. Petition to Amend Section Sec. 73.1216 License-conducted contests</t>
  </si>
  <si>
    <t>Comment sought on international comparison and consumer survey requirements in the Broadband Data Improvement Act</t>
  </si>
  <si>
    <t>In the Matter of A National Broadband Plan for Our Future</t>
  </si>
  <si>
    <t>Foreign Carrier Affiliation Notification of AST Telecom LLC d/b/a Blue Sky Communications American Samoa Hawaii Cable, LLC and Samoa American Samoa Cable, LLC</t>
  </si>
  <si>
    <t>The FCC's advisory committee for the World Radiocommunication conference proposes preliminary views on WRC- issues</t>
  </si>
  <si>
    <t>Media Bureau seeks comment on Section 257 studies</t>
  </si>
  <si>
    <t>In the Matter of Digital Television Distributed Transmission System Technologies</t>
  </si>
  <si>
    <t>In the Matter of Standardizing Program Reporting Requirements for Broadcast Licensees</t>
  </si>
  <si>
    <t>Members of the public are invited to comment on the Federal Communication Commission's rules to be reviewed pursuant to section 610 of the Regulatory Flexibility Act of 1980, as amended</t>
  </si>
  <si>
    <t>Office of Engineering and Technology requests information on use of 1675-1710 MHz Band</t>
  </si>
  <si>
    <t>In the Matter of Establishment of a Model for Predicting Digital Broadcast Television Field Strength Received at Individual Locations. Measurement Standards for Digital Television Signals Pursuant to the Satellite Home Viewer Extension</t>
  </si>
  <si>
    <t>In the matter of Assessment and Collection of Regulatory Fees for Fiscal Year 2009</t>
  </si>
  <si>
    <t>In the Matter of Assessment and Collection of Regulatory Fees for Fiscal Year 2011</t>
  </si>
  <si>
    <t>In the Matter of Assessment and Collection of Regulatory Fees for Fiscal Year 2010</t>
  </si>
  <si>
    <t>Assessment and Collection of Regulatory Fees for Fiscal Year 2013</t>
  </si>
  <si>
    <t>In the Matter of applications of AT&amp;T Inc. and Deutsche Telekom AG for consent to assign or Transfer Control of licenses and Authorizations</t>
  </si>
  <si>
    <t>Verizon wireless and Atlantis Holdings LLC seek FCC consent to transfer control of licenses, Spectrum manager and De Facto transfer leases, and Authorizations, and request a declaratory ruling on foreign ownership</t>
  </si>
  <si>
    <t>Wireless Telecommunications Bureau seeks comment on petition for declaratory ruling filed by CTIA regarding whether early termination fees are Rates Charged within</t>
  </si>
  <si>
    <t>AT&amp;T and Cellco partnership D/B/A Verizon wireless seek FCC consent to assign or transfer control of licenses and authorizations and modify a spectrum leasing arrangement</t>
  </si>
  <si>
    <t>Applications of GCI Communications Corp., ACS Wireless License Sub, Inc., ACS of Anchorage License Sub, Inc., and Unicom, Inc. For Consent To Assign Licenses to The Alaska Wireless Network, LLC</t>
  </si>
  <si>
    <t>CNP-KanOkla Transaction</t>
  </si>
  <si>
    <t>In the Matter of Development of Nationwide broadband Data to evaluate reasonable and timely deployment of advanced services to all Americans</t>
  </si>
  <si>
    <t>In the Matter of Rules and Regulation Implementing the Truth in Caller ID Act of 2009</t>
  </si>
  <si>
    <t>Comments on the Verizon Telephone companies petition for forbearance in the Virginia Beach Metropolitan statistical area</t>
  </si>
  <si>
    <t>Cycle established for comments on the Georgia Public Service Commission petition for declaratory and confirmation of just and reasonableness of established rates</t>
  </si>
  <si>
    <t>Pleading Cycle established for comments on Verizon and Verizon Wireless petition for declaratory ruling</t>
  </si>
  <si>
    <t>Pleading cycle established for comments on Qwest's petitions for forbearance in the Phoenix, Denver, Minneapolis-St. Paul, and Seattle metropolitan statistical areas</t>
  </si>
  <si>
    <t>Comments sought on Verizon petition for waiver of the Commission's Price Cap Rules</t>
  </si>
  <si>
    <t>Pleading cycle established for comments on Verizon's petitions for forbearance in Rhode Island</t>
  </si>
  <si>
    <t>Pleading cycle established for comments on American Public Communications council's Petition for Declaratory Ruling and Rulemaking regarding IP-enabled dial-around calls from payphones</t>
  </si>
  <si>
    <t>Petition of ACS of Anchorage, Inc. Pursuant to Section of the Communications Act of 1934 as amended for forbearance from Sections 251(c) (3 ) and 252 (d) (1) in the Anchorage LEC Study Area- Supplement</t>
  </si>
  <si>
    <t>Fox Television Holdings, Inc. (Houston, TX)</t>
  </si>
  <si>
    <t>Pleading cycle established for AT&amp;T Inc. petition on behalf of its incumbent LEC affiliates seeking forbearance from enforcement of certain Armis reporting requirements</t>
  </si>
  <si>
    <t>Comments sought on Embarq Petition for waiver to allow it to exercise pricing flexibility for certain packet-switched services</t>
  </si>
  <si>
    <t>In the Matter of Service Quality Customer Satisfaction Infrastructure and Operating Data Gathering petition of AT&amp;T Inc. for forbearance under 47 U.S.C. 160(c) from enforcement of certain of the ARMIS Reporting requirements</t>
  </si>
  <si>
    <t>Pleading cycle established for comments on Qwest corporation's petition for forbearance in The Phoenix, Arizona metropolitan statistical area</t>
  </si>
  <si>
    <t>Comments on request by Nuclear Energy Institute and Utilities Telecom Council for waiver to permit the use of part 74 two-way wireless headsets and intercom devices inside nuclear power Nuclear power plants</t>
  </si>
  <si>
    <t>Comments on petition of Cincinnati Bell Telephone Company LLC for waiver from application of the equal access scripting requirement</t>
  </si>
  <si>
    <t>Pleading cycle established for comments on review of Wireline Competition Bureau Data Practices</t>
  </si>
  <si>
    <t>Wireline Competition Bureau announces application deadline for the E-Rate Deployed Ubiquitously (EDU) 2011 Pilot Program</t>
  </si>
  <si>
    <t>DOMESTIC SECTION 214 APPLICATION FILED FOR THE TRANSFER OF CONTROL OF BLUE CASA TELEPHONE, LLC TO JEFF COMPTON AND HOWARD BRAND, Individuals</t>
  </si>
  <si>
    <t>Wireline Competition Bureau Short Term Network Change Notification Filed By Verizon New York Inc.</t>
  </si>
  <si>
    <t>Wireline Competition Bureau Short Term Network Change Notification Filed By Verizon New Jersey Inc.</t>
  </si>
  <si>
    <t>Wireline Competition Bureau Network Change Notification Filed By Verizon New York Inc.</t>
  </si>
  <si>
    <t>Wireline Competition Bureau Short Term Network Change Notification Filed By Verizon New England Inc.</t>
  </si>
  <si>
    <t>Wireline Competition Bureau Short Term Network Change Notification Filed By Central Texas Telephone Cooperative, Inc.</t>
  </si>
  <si>
    <t>Wireline Competition Bureau Network Change Notification Filed By Verizon North LLC And Verizon South Inc.</t>
  </si>
  <si>
    <t>Office of Communication Business Opps</t>
  </si>
  <si>
    <t>Promoting Interoperability in the 700 MHz Commercial Spectrum</t>
  </si>
  <si>
    <t>12-69</t>
  </si>
  <si>
    <t>18-11</t>
  </si>
  <si>
    <t>https://www.fcc.gov/ecfs/search/filings?proceedings_name=18-11&amp;sort=date_disseminated,DESC</t>
  </si>
  <si>
    <t>https://apps.fcc.gov/edocs_public/Query.do?docket=18-11</t>
  </si>
  <si>
    <t>Birach Broadcasting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</si>
</sst>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4">
    <font>
      <sz val="10"/>
      <name val="Arial"/>
      <family val="2"/>
      <charset val="1"/>
    </font>
    <font>
      <sz val="10"/>
      <color theme="1"/>
      <name val="Arial"/>
      <family val="2"/>
    </font>
    <font>
      <b/>
      <sz val="10"/>
      <name val="Arial"/>
      <family val="2"/>
    </font>
    <font>
      <u val="single"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049949999898672104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1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0" fillId="0" borderId="0" xfId="0" applyFill="1"/>
    <xf numFmtId="0" fontId="0" fillId="0" borderId="3" xfId="0" applyFont="1" applyFill="1" applyBorder="1"/>
    <xf numFmtId="0" fontId="0" fillId="0" borderId="3" xfId="0" applyFont="1" applyFill="1" applyBorder="1" applyAlignment="1">
      <alignment wrapText="1"/>
    </xf>
    <xf numFmtId="0" fontId="0" fillId="0" borderId="0" xfId="0" applyFont="1" applyFill="1"/>
    <xf numFmtId="17" fontId="0" fillId="0" borderId="3" xfId="0" applyNumberFormat="1" applyFont="1" applyFill="1" applyBorder="1" quotePrefix="1"/>
    <xf numFmtId="0" fontId="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3" xfId="0" applyFont="1" applyFill="1" applyBorder="1" applyAlignment="1">
      <alignment horizontal="right"/>
    </xf>
    <xf numFmtId="0" fontId="0" fillId="0" borderId="3" xfId="0" applyFont="1" applyFill="1" applyBorder="1" applyAlignment="1">
      <alignment horizontal="right" wrapText="1"/>
    </xf>
    <xf numFmtId="14" fontId="0" fillId="0" borderId="3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/>
    </xf>
    <xf numFmtId="0" fontId="0" fillId="0" borderId="3" xfId="20" applyFont="1" applyFill="1" applyBorder="1" applyAlignment="1">
      <alignment/>
    </xf>
    <xf numFmtId="0" fontId="0" fillId="0" borderId="0" xfId="0" applyFont="1" applyFill="1" applyAlignment="1">
      <alignment/>
    </xf>
    <xf numFmtId="49" fontId="0" fillId="0" borderId="3" xfId="0" applyNumberFormat="1" applyFont="1" applyFill="1" applyBorder="1"/>
    <xf numFmtId="0" fontId="3" fillId="0" borderId="3" xfId="20" applyFill="1" applyBorder="1" applyAlignment="1">
      <alignment/>
    </xf>
    <xf numFmtId="14" fontId="0" fillId="0" borderId="3" xfId="0" applyNumberFormat="1" applyFont="1" applyFill="1" applyBorder="1" applyAlignment="1">
      <alignment horizontal="right" wrapText="1"/>
    </xf>
  </cellXfs>
  <cellStyles count="7">
    <cellStyle name="Normal" xfId="0" builtinId="0"/>
    <cellStyle name="Percent" xfId="15"/>
    <cellStyle name="Currency" xfId="16"/>
    <cellStyle name="Currency [0]" xfId="17"/>
    <cellStyle name="Comma" xfId="18"/>
    <cellStyle name="Comma [0]" xfId="19"/>
    <cellStyle name="Hyperlink" xfId="2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https://www.fcc.gov/ecfs/search/filings?proceedings_name=18-11&amp;sort=date_disseminated,DESC" TargetMode="External" /><Relationship Id="rId2" Type="http://schemas.openxmlformats.org/officeDocument/2006/relationships/hyperlink" Target="https://apps.fcc.gov/edocs_public/Query.do?docket=18-11" TargetMode="External" /><Relationship Id="rId3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18"/>
  <sheetViews>
    <sheetView tabSelected="1" workbookViewId="0" topLeftCell="D1">
      <pane ySplit="1" topLeftCell="A368" activePane="bottomLeft" state="frozen"/>
      <selection pane="topLeft" activeCell="D1" sqref="D1"/>
      <selection pane="bottomLeft" activeCell="F374" sqref="F374"/>
    </sheetView>
  </sheetViews>
  <sheetFormatPr defaultRowHeight="12.75"/>
  <cols>
    <col min="1" max="1" width="38" style="3" bestFit="1" customWidth="1"/>
    <col min="2" max="2" width="16" style="3" bestFit="1" customWidth="1"/>
    <col min="3" max="3" width="88.71428571428571" style="18" bestFit="1" customWidth="1"/>
    <col min="4" max="4" width="55" style="18" bestFit="1" customWidth="1"/>
    <col min="5" max="5" width="68.85714285714286" style="9" customWidth="1"/>
    <col min="6" max="6" width="9.142857142857142" style="14"/>
    <col min="7" max="7" width="12" style="14" customWidth="1"/>
    <col min="8" max="8" width="11.571428571428571" style="14" customWidth="1"/>
    <col min="9" max="16384" width="9.142857142857142" style="3"/>
  </cols>
  <sheetData>
    <row r="1" spans="1:8" ht="51">
      <c r="A1" s="1" t="s">
        <v>1088</v>
      </c>
      <c r="B1" s="1" t="s">
        <v>1089</v>
      </c>
      <c r="C1" s="15" t="s">
        <v>0</v>
      </c>
      <c r="D1" s="15" t="s">
        <v>1</v>
      </c>
      <c r="E1" s="1" t="s">
        <v>2</v>
      </c>
      <c r="F1" s="1" t="s">
        <v>1091</v>
      </c>
      <c r="G1" s="1" t="s">
        <v>1092</v>
      </c>
      <c r="H1" s="2" t="s">
        <v>1090</v>
      </c>
    </row>
    <row r="2" spans="1:16" ht="25.5">
      <c r="A2" s="4" t="s">
        <v>258</v>
      </c>
      <c r="B2" s="4" t="s">
        <v>259</v>
      </c>
      <c r="C2" s="16" t="str">
        <f>HYPERLINK("https://www.fcc.gov/ecfs/search/filings?proceedings_name=98-120&amp;sort=date_disseminated,DESC")</f>
        <v>https://www.fcc.gov/ecfs/search/filings?proceedings_name=98-120&amp;sort=date_disseminated,DESC</v>
      </c>
      <c r="D2" s="16" t="str">
        <f>HYPERLINK("https://apps.fcc.gov/edocs_public/Query.do?docket=98-120")</f>
        <v>https://apps.fcc.gov/edocs_public/Query.do?docket=98-120</v>
      </c>
      <c r="E2" s="5" t="s">
        <v>260</v>
      </c>
      <c r="F2" s="10">
        <v>1989</v>
      </c>
      <c r="G2" s="10" t="s">
        <v>261</v>
      </c>
      <c r="H2" s="10" t="s">
        <v>237</v>
      </c>
      <c r="I2" s="6"/>
      <c r="J2" s="6"/>
      <c r="K2" s="6"/>
      <c r="L2" s="6"/>
      <c r="M2" s="6"/>
      <c r="N2" s="6"/>
      <c r="O2" s="6"/>
      <c r="P2" s="6"/>
    </row>
    <row r="3" spans="1:8" s="6" customFormat="1" ht="25.5">
      <c r="A3" s="5" t="s">
        <v>473</v>
      </c>
      <c r="B3" s="5" t="s">
        <v>920</v>
      </c>
      <c r="C3" s="16" t="str">
        <f>HYPERLINK("https://www.fcc.gov/ecfs/search/filings?proceedings_name=80-634&amp;sort=date_disseminated,DESC")</f>
        <v>https://www.fcc.gov/ecfs/search/filings?proceedings_name=80-634&amp;sort=date_disseminated,DESC</v>
      </c>
      <c r="D3" s="16" t="str">
        <f>HYPERLINK("https://apps.fcc.gov/edocs_public/Query.do?docket=80-634")</f>
        <v>https://apps.fcc.gov/edocs_public/Query.do?docket=80-634</v>
      </c>
      <c r="E3" s="5" t="s">
        <v>1106</v>
      </c>
      <c r="F3" s="11">
        <v>5</v>
      </c>
      <c r="G3" s="11" t="s">
        <v>921</v>
      </c>
      <c r="H3" s="11" t="s">
        <v>922</v>
      </c>
    </row>
    <row r="4" spans="1:8" s="6" customFormat="1" ht="51">
      <c r="A4" s="5" t="s">
        <v>473</v>
      </c>
      <c r="B4" s="5" t="s">
        <v>923</v>
      </c>
      <c r="C4" s="16" t="str">
        <f>HYPERLINK("https://www.fcc.gov/ecfs/search/filings?proceedings_name=85-229&amp;sort=date_disseminated,DESC")</f>
        <v>https://www.fcc.gov/ecfs/search/filings?proceedings_name=85-229&amp;sort=date_disseminated,DESC</v>
      </c>
      <c r="D4" s="16" t="str">
        <f>HYPERLINK("https://apps.fcc.gov/edocs_public/Query.do?docket=85-229")</f>
        <v>https://apps.fcc.gov/edocs_public/Query.do?docket=85-229</v>
      </c>
      <c r="E4" s="5" t="s">
        <v>1107</v>
      </c>
      <c r="F4" s="11">
        <v>28</v>
      </c>
      <c r="G4" s="11" t="s">
        <v>464</v>
      </c>
      <c r="H4" s="11" t="s">
        <v>924</v>
      </c>
    </row>
    <row r="5" spans="1:8" s="6" customFormat="1" ht="12.75">
      <c r="A5" s="5" t="s">
        <v>473</v>
      </c>
      <c r="B5" s="5" t="s">
        <v>925</v>
      </c>
      <c r="C5" s="16" t="str">
        <f>HYPERLINK("https://www.fcc.gov/ecfs/search/filings?proceedings_name=86-10&amp;sort=date_disseminated,DESC")</f>
        <v>https://www.fcc.gov/ecfs/search/filings?proceedings_name=86-10&amp;sort=date_disseminated,DESC</v>
      </c>
      <c r="D5" s="16" t="str">
        <f>HYPERLINK("https://apps.fcc.gov/edocs_public/Query.do?docket=86-10")</f>
        <v>https://apps.fcc.gov/edocs_public/Query.do?docket=86-10</v>
      </c>
      <c r="E5" s="5" t="s">
        <v>926</v>
      </c>
      <c r="F5" s="11">
        <v>14</v>
      </c>
      <c r="G5" s="11" t="s">
        <v>464</v>
      </c>
      <c r="H5" s="11" t="s">
        <v>927</v>
      </c>
    </row>
    <row r="6" spans="1:8" s="6" customFormat="1" ht="38.25">
      <c r="A6" s="5" t="s">
        <v>473</v>
      </c>
      <c r="B6" s="5" t="s">
        <v>928</v>
      </c>
      <c r="C6" s="16" t="str">
        <f>HYPERLINK("https://www.fcc.gov/ecfs/search/filings?proceedings_name=90-571&amp;sort=date_disseminated,DESC")</f>
        <v>https://www.fcc.gov/ecfs/search/filings?proceedings_name=90-571&amp;sort=date_disseminated,DESC</v>
      </c>
      <c r="D6" s="16" t="str">
        <f>HYPERLINK("https://apps.fcc.gov/edocs_public/Query.do?docket=90-571")</f>
        <v>https://apps.fcc.gov/edocs_public/Query.do?docket=90-571</v>
      </c>
      <c r="E6" s="5" t="s">
        <v>929</v>
      </c>
      <c r="F6" s="11">
        <v>1176</v>
      </c>
      <c r="G6" s="11" t="s">
        <v>464</v>
      </c>
      <c r="H6" s="11" t="s">
        <v>930</v>
      </c>
    </row>
    <row r="7" spans="1:8" s="6" customFormat="1" ht="25.5">
      <c r="A7" s="5" t="s">
        <v>473</v>
      </c>
      <c r="B7" s="5" t="s">
        <v>931</v>
      </c>
      <c r="C7" s="16" t="str">
        <f>HYPERLINK("https://www.fcc.gov/ecfs/search/filings?proceedings_name=92-256&amp;sort=date_disseminated,DESC")</f>
        <v>https://www.fcc.gov/ecfs/search/filings?proceedings_name=92-256&amp;sort=date_disseminated,DESC</v>
      </c>
      <c r="D7" s="16" t="str">
        <f>HYPERLINK("https://apps.fcc.gov/edocs_public/Query.do?docket=92-256")</f>
        <v>https://apps.fcc.gov/edocs_public/Query.do?docket=92-256</v>
      </c>
      <c r="E7" s="5" t="s">
        <v>932</v>
      </c>
      <c r="F7" s="11">
        <v>213</v>
      </c>
      <c r="G7" s="11" t="s">
        <v>933</v>
      </c>
      <c r="H7" s="11" t="s">
        <v>934</v>
      </c>
    </row>
    <row r="8" spans="1:8" s="6" customFormat="1" ht="51">
      <c r="A8" s="5" t="s">
        <v>473</v>
      </c>
      <c r="B8" s="5" t="s">
        <v>935</v>
      </c>
      <c r="C8" s="16" t="str">
        <f>HYPERLINK("https://www.fcc.gov/ecfs/search/filings?proceedings_name=92-297&amp;sort=date_disseminated,DESC")</f>
        <v>https://www.fcc.gov/ecfs/search/filings?proceedings_name=92-297&amp;sort=date_disseminated,DESC</v>
      </c>
      <c r="D8" s="16" t="str">
        <f>HYPERLINK("https://apps.fcc.gov/edocs_public/Query.do?docket=92-297")</f>
        <v>https://apps.fcc.gov/edocs_public/Query.do?docket=92-297</v>
      </c>
      <c r="E8" s="5" t="s">
        <v>936</v>
      </c>
      <c r="F8" s="11">
        <v>1362</v>
      </c>
      <c r="G8" s="11" t="s">
        <v>937</v>
      </c>
      <c r="H8" s="11" t="s">
        <v>72</v>
      </c>
    </row>
    <row r="9" spans="1:8" s="6" customFormat="1" ht="25.5">
      <c r="A9" s="5" t="s">
        <v>473</v>
      </c>
      <c r="B9" s="5" t="s">
        <v>938</v>
      </c>
      <c r="C9" s="16" t="str">
        <f>HYPERLINK("https://www.fcc.gov/ecfs/search/filings?proceedings_name=94-158&amp;sort=date_disseminated,DESC")</f>
        <v>https://www.fcc.gov/ecfs/search/filings?proceedings_name=94-158&amp;sort=date_disseminated,DESC</v>
      </c>
      <c r="D9" s="16" t="str">
        <f>HYPERLINK("https://apps.fcc.gov/edocs_public/Query.do?docket=94-158")</f>
        <v>https://apps.fcc.gov/edocs_public/Query.do?docket=94-158</v>
      </c>
      <c r="E9" s="5" t="s">
        <v>939</v>
      </c>
      <c r="F9" s="11">
        <v>57</v>
      </c>
      <c r="G9" s="11" t="s">
        <v>940</v>
      </c>
      <c r="H9" s="11" t="s">
        <v>941</v>
      </c>
    </row>
    <row r="10" spans="1:8" s="6" customFormat="1" ht="38.25">
      <c r="A10" s="5" t="s">
        <v>473</v>
      </c>
      <c r="B10" s="5" t="s">
        <v>942</v>
      </c>
      <c r="C10" s="16" t="str">
        <f>HYPERLINK("https://www.fcc.gov/ecfs/search/filings?proceedings_name=95-115&amp;sort=date_disseminated,DESC")</f>
        <v>https://www.fcc.gov/ecfs/search/filings?proceedings_name=95-115&amp;sort=date_disseminated,DESC</v>
      </c>
      <c r="D10" s="16" t="str">
        <f>HYPERLINK("https://apps.fcc.gov/edocs_public/Query.do?docket=95-115")</f>
        <v>https://apps.fcc.gov/edocs_public/Query.do?docket=95-115</v>
      </c>
      <c r="E10" s="5" t="s">
        <v>943</v>
      </c>
      <c r="F10" s="11">
        <v>119</v>
      </c>
      <c r="G10" s="11" t="s">
        <v>944</v>
      </c>
      <c r="H10" s="11" t="s">
        <v>945</v>
      </c>
    </row>
    <row r="11" spans="1:16" s="6" customFormat="1" ht="25.5">
      <c r="A11" s="4" t="s">
        <v>3</v>
      </c>
      <c r="B11" s="4" t="s">
        <v>4</v>
      </c>
      <c r="C11" s="16" t="str">
        <f>HYPERLINK("https://www.fcc.gov/ecfs/search/filings?proceedings_name=04-208&amp;sort=date_disseminated,DESC")</f>
        <v>https://www.fcc.gov/ecfs/search/filings?proceedings_name=04-208&amp;sort=date_disseminated,DESC</v>
      </c>
      <c r="D11" s="16" t="str">
        <f>HYPERLINK("https://apps.fcc.gov/edocs_public/Query.do?docket=04-208")</f>
        <v>https://apps.fcc.gov/edocs_public/Query.do?docket=04-208</v>
      </c>
      <c r="E11" s="5" t="s">
        <v>1108</v>
      </c>
      <c r="F11" s="10">
        <v>728</v>
      </c>
      <c r="G11" s="10" t="s">
        <v>5</v>
      </c>
      <c r="H11" s="10" t="s">
        <v>6</v>
      </c>
      <c r="I11" s="3"/>
      <c r="J11" s="3"/>
      <c r="K11" s="3"/>
      <c r="L11" s="3"/>
      <c r="M11" s="3"/>
      <c r="N11" s="3"/>
      <c r="O11" s="3"/>
      <c r="P11" s="3"/>
    </row>
    <row r="12" spans="1:8" s="6" customFormat="1" ht="25.5">
      <c r="A12" s="4" t="s">
        <v>3</v>
      </c>
      <c r="B12" s="4" t="s">
        <v>266</v>
      </c>
      <c r="C12" s="16" t="str">
        <f>HYPERLINK("https://www.fcc.gov/ecfs/search/filings?proceedings_name=RM-11684&amp;sort=date_disseminated,DESC")</f>
        <v>https://www.fcc.gov/ecfs/search/filings?proceedings_name=RM-11684&amp;sort=date_disseminated,DESC</v>
      </c>
      <c r="D12" s="16" t="str">
        <f>HYPERLINK("https://apps.fcc.gov/edocs_public/Query.do?docket=RM-11684")</f>
        <v>https://apps.fcc.gov/edocs_public/Query.do?docket=RM-11684</v>
      </c>
      <c r="E12" s="5" t="s">
        <v>1109</v>
      </c>
      <c r="F12" s="10">
        <v>26</v>
      </c>
      <c r="G12" s="10" t="s">
        <v>132</v>
      </c>
      <c r="H12" s="10" t="s">
        <v>267</v>
      </c>
    </row>
    <row r="13" spans="1:8" s="6" customFormat="1" ht="25.5">
      <c r="A13" s="4" t="s">
        <v>3</v>
      </c>
      <c r="B13" s="4" t="s">
        <v>15</v>
      </c>
      <c r="C13" s="16" t="str">
        <f>HYPERLINK("https://www.fcc.gov/ecfs/search/filings?proceedings_name=RM-11750&amp;sort=date_disseminated,DESC")</f>
        <v>https://www.fcc.gov/ecfs/search/filings?proceedings_name=RM-11750&amp;sort=date_disseminated,DESC</v>
      </c>
      <c r="D13" s="16" t="str">
        <f>HYPERLINK("https://apps.fcc.gov/edocs_public/Query.do?docket=RM-11750")</f>
        <v>https://apps.fcc.gov/edocs_public/Query.do?docket=RM-11750</v>
      </c>
      <c r="E13" s="5" t="s">
        <v>16</v>
      </c>
      <c r="F13" s="10">
        <v>14</v>
      </c>
      <c r="G13" s="10" t="s">
        <v>17</v>
      </c>
      <c r="H13" s="10" t="s">
        <v>18</v>
      </c>
    </row>
    <row r="14" spans="1:8" s="6" customFormat="1" ht="25.5">
      <c r="A14" s="4" t="s">
        <v>3</v>
      </c>
      <c r="B14" s="4" t="s">
        <v>24</v>
      </c>
      <c r="C14" s="16" t="str">
        <f>HYPERLINK("https://www.fcc.gov/ecfs/search/filings?proceedings_name=RM-11752&amp;sort=date_disseminated,DESC")</f>
        <v>https://www.fcc.gov/ecfs/search/filings?proceedings_name=RM-11752&amp;sort=date_disseminated,DESC</v>
      </c>
      <c r="D14" s="16" t="str">
        <f>HYPERLINK("https://apps.fcc.gov/edocs_public/Query.do?docket=RM-11752")</f>
        <v>https://apps.fcc.gov/edocs_public/Query.do?docket=RM-11752</v>
      </c>
      <c r="E14" s="5" t="s">
        <v>25</v>
      </c>
      <c r="F14" s="10">
        <v>8</v>
      </c>
      <c r="G14" s="10" t="s">
        <v>26</v>
      </c>
      <c r="H14" s="10" t="s">
        <v>27</v>
      </c>
    </row>
    <row r="15" spans="1:8" s="6" customFormat="1" ht="25.5">
      <c r="A15" s="4" t="s">
        <v>37</v>
      </c>
      <c r="B15" s="4" t="s">
        <v>38</v>
      </c>
      <c r="C15" s="16" t="str">
        <f>HYPERLINK("https://www.fcc.gov/ecfs/search/filings?proceedings_name=13-35&amp;sort=date_disseminated,DESC")</f>
        <v>https://www.fcc.gov/ecfs/search/filings?proceedings_name=13-35&amp;sort=date_disseminated,DESC</v>
      </c>
      <c r="D15" s="16" t="str">
        <f>HYPERLINK("https://apps.fcc.gov/edocs_public/Query.do?docket=13-35")</f>
        <v>https://apps.fcc.gov/edocs_public/Query.do?docket=13-35</v>
      </c>
      <c r="E15" s="5" t="s">
        <v>10</v>
      </c>
      <c r="F15" s="10">
        <v>4</v>
      </c>
      <c r="G15" s="10" t="s">
        <v>39</v>
      </c>
      <c r="H15" s="10" t="s">
        <v>11</v>
      </c>
    </row>
    <row r="16" spans="1:8" s="6" customFormat="1" ht="12.75">
      <c r="A16" s="4" t="s">
        <v>37</v>
      </c>
      <c r="B16" s="4" t="s">
        <v>40</v>
      </c>
      <c r="C16" s="16" t="str">
        <f>HYPERLINK("https://www.fcc.gov/ecfs/search/filings?proceedings_name=14-209&amp;sort=date_disseminated,DESC")</f>
        <v>https://www.fcc.gov/ecfs/search/filings?proceedings_name=14-209&amp;sort=date_disseminated,DESC</v>
      </c>
      <c r="D16" s="16" t="str">
        <f>HYPERLINK("https://apps.fcc.gov/edocs_public/Query.do?docket=14-209")</f>
        <v>https://apps.fcc.gov/edocs_public/Query.do?docket=14-209</v>
      </c>
      <c r="E16" s="5" t="s">
        <v>41</v>
      </c>
      <c r="F16" s="10">
        <v>23</v>
      </c>
      <c r="G16" s="10" t="s">
        <v>42</v>
      </c>
      <c r="H16" s="10" t="s">
        <v>13</v>
      </c>
    </row>
    <row r="17" spans="1:8" s="6" customFormat="1" ht="12.75">
      <c r="A17" s="4" t="s">
        <v>37</v>
      </c>
      <c r="B17" s="4" t="s">
        <v>43</v>
      </c>
      <c r="C17" s="16" t="str">
        <f>HYPERLINK("https://www.fcc.gov/ecfs/search/filings?proceedings_name=14-216&amp;sort=date_disseminated,DESC")</f>
        <v>https://www.fcc.gov/ecfs/search/filings?proceedings_name=14-216&amp;sort=date_disseminated,DESC</v>
      </c>
      <c r="D17" s="16" t="str">
        <f>HYPERLINK("https://apps.fcc.gov/edocs_public/Query.do?docket=14-216")</f>
        <v>https://apps.fcc.gov/edocs_public/Query.do?docket=14-216</v>
      </c>
      <c r="E17" s="5" t="s">
        <v>44</v>
      </c>
      <c r="F17" s="10">
        <v>8</v>
      </c>
      <c r="G17" s="10" t="s">
        <v>42</v>
      </c>
      <c r="H17" s="10" t="s">
        <v>45</v>
      </c>
    </row>
    <row r="18" spans="1:8" s="6" customFormat="1" ht="12.75">
      <c r="A18" s="4" t="s">
        <v>37</v>
      </c>
      <c r="B18" s="4" t="s">
        <v>46</v>
      </c>
      <c r="C18" s="16" t="str">
        <f>HYPERLINK("https://www.fcc.gov/ecfs/search/filings?proceedings_name=14-223&amp;sort=date_disseminated,DESC")</f>
        <v>https://www.fcc.gov/ecfs/search/filings?proceedings_name=14-223&amp;sort=date_disseminated,DESC</v>
      </c>
      <c r="D18" s="16" t="str">
        <f>HYPERLINK("https://apps.fcc.gov/edocs_public/Query.do?docket=14-223")</f>
        <v>https://apps.fcc.gov/edocs_public/Query.do?docket=14-223</v>
      </c>
      <c r="E18" s="5" t="s">
        <v>47</v>
      </c>
      <c r="F18" s="10">
        <v>18</v>
      </c>
      <c r="G18" s="10" t="s">
        <v>42</v>
      </c>
      <c r="H18" s="10" t="s">
        <v>48</v>
      </c>
    </row>
    <row r="19" spans="1:8" s="6" customFormat="1" ht="25.5">
      <c r="A19" s="5" t="s">
        <v>459</v>
      </c>
      <c r="B19" s="5" t="s">
        <v>513</v>
      </c>
      <c r="C19" s="16" t="str">
        <f>HYPERLINK("https://www.fcc.gov/ecfs/search/filings?proceedings_name=09-47&amp;sort=date_disseminated,DESC")</f>
        <v>https://www.fcc.gov/ecfs/search/filings?proceedings_name=09-47&amp;sort=date_disseminated,DESC</v>
      </c>
      <c r="D19" s="16" t="str">
        <f>HYPERLINK("https://apps.fcc.gov/edocs_public/Query.do?docket=09-47")</f>
        <v>https://apps.fcc.gov/edocs_public/Query.do?docket=09-47</v>
      </c>
      <c r="E19" s="5" t="s">
        <v>1110</v>
      </c>
      <c r="F19" s="11">
        <v>1919</v>
      </c>
      <c r="G19" s="11" t="s">
        <v>514</v>
      </c>
      <c r="H19" s="11" t="s">
        <v>515</v>
      </c>
    </row>
    <row r="20" spans="1:8" s="6" customFormat="1" ht="12.75">
      <c r="A20" s="5" t="s">
        <v>459</v>
      </c>
      <c r="B20" s="5" t="s">
        <v>520</v>
      </c>
      <c r="C20" s="16" t="str">
        <f>HYPERLINK("https://www.fcc.gov/ecfs/search/filings?proceedings_name=10-66&amp;sort=date_disseminated,DESC")</f>
        <v>https://www.fcc.gov/ecfs/search/filings?proceedings_name=10-66&amp;sort=date_disseminated,DESC</v>
      </c>
      <c r="D20" s="16" t="str">
        <f>HYPERLINK("https://apps.fcc.gov/edocs_public/Query.do?docket=10-66")</f>
        <v>https://apps.fcc.gov/edocs_public/Query.do?docket=10-66</v>
      </c>
      <c r="E20" s="5" t="s">
        <v>1111</v>
      </c>
      <c r="F20" s="11">
        <v>18</v>
      </c>
      <c r="G20" s="11" t="s">
        <v>521</v>
      </c>
      <c r="H20" s="11" t="s">
        <v>522</v>
      </c>
    </row>
    <row r="21" spans="1:8" s="6" customFormat="1" ht="38.25">
      <c r="A21" s="4" t="s">
        <v>50</v>
      </c>
      <c r="B21" s="4" t="s">
        <v>54</v>
      </c>
      <c r="C21" s="16" t="str">
        <f>HYPERLINK("https://www.fcc.gov/ecfs/search/filings?proceedings_name=11-57&amp;sort=date_disseminated,DESC")</f>
        <v>https://www.fcc.gov/ecfs/search/filings?proceedings_name=11-57&amp;sort=date_disseminated,DESC</v>
      </c>
      <c r="D21" s="16" t="str">
        <f>HYPERLINK("https://apps.fcc.gov/edocs_public/Query.do?docket=11-57")</f>
        <v>https://apps.fcc.gov/edocs_public/Query.do?docket=11-57</v>
      </c>
      <c r="E21" s="5" t="s">
        <v>1112</v>
      </c>
      <c r="F21" s="10">
        <v>6</v>
      </c>
      <c r="G21" s="10" t="s">
        <v>55</v>
      </c>
      <c r="H21" s="10" t="s">
        <v>56</v>
      </c>
    </row>
    <row r="22" spans="1:8" s="6" customFormat="1" ht="25.5">
      <c r="A22" s="4" t="s">
        <v>50</v>
      </c>
      <c r="B22" s="4" t="s">
        <v>51</v>
      </c>
      <c r="C22" s="16" t="str">
        <f>HYPERLINK("https://www.fcc.gov/ecfs/search/filings?proceedings_name=04-286&amp;sort=date_disseminated,DESC")</f>
        <v>https://www.fcc.gov/ecfs/search/filings?proceedings_name=04-286&amp;sort=date_disseminated,DESC</v>
      </c>
      <c r="D22" s="16" t="str">
        <f>HYPERLINK("https://apps.fcc.gov/edocs_public/Query.do?docket=04-286")</f>
        <v>https://apps.fcc.gov/edocs_public/Query.do?docket=04-286</v>
      </c>
      <c r="E22" s="5" t="s">
        <v>1113</v>
      </c>
      <c r="F22" s="10">
        <v>704</v>
      </c>
      <c r="G22" s="10" t="s">
        <v>52</v>
      </c>
      <c r="H22" s="10" t="s">
        <v>53</v>
      </c>
    </row>
    <row r="23" spans="1:8" s="6" customFormat="1" ht="25.5">
      <c r="A23" s="4" t="s">
        <v>50</v>
      </c>
      <c r="B23" s="4" t="s">
        <v>57</v>
      </c>
      <c r="C23" s="16" t="str">
        <f>HYPERLINK("https://www.fcc.gov/ecfs/search/filings?proceedings_name=12-324&amp;sort=date_disseminated,DESC")</f>
        <v>https://www.fcc.gov/ecfs/search/filings?proceedings_name=12-324&amp;sort=date_disseminated,DESC</v>
      </c>
      <c r="D23" s="16" t="str">
        <f>HYPERLINK("https://apps.fcc.gov/edocs_public/Query.do?docket=12-324")</f>
        <v>https://apps.fcc.gov/edocs_public/Query.do?docket=12-324</v>
      </c>
      <c r="E23" s="5" t="s">
        <v>58</v>
      </c>
      <c r="F23" s="10">
        <v>27</v>
      </c>
      <c r="G23" s="10" t="s">
        <v>59</v>
      </c>
      <c r="H23" s="10" t="s">
        <v>60</v>
      </c>
    </row>
    <row r="24" spans="1:8" s="6" customFormat="1" ht="25.5">
      <c r="A24" s="4" t="s">
        <v>50</v>
      </c>
      <c r="B24" s="4" t="s">
        <v>62</v>
      </c>
      <c r="C24" s="16" t="str">
        <f>HYPERLINK("https://www.fcc.gov/ecfs/search/filings?proceedings_name=15-16&amp;sort=date_disseminated,DESC")</f>
        <v>https://www.fcc.gov/ecfs/search/filings?proceedings_name=15-16&amp;sort=date_disseminated,DESC</v>
      </c>
      <c r="D24" s="16" t="str">
        <f>HYPERLINK("https://apps.fcc.gov/edocs_public/Query.do?docket=15-16")</f>
        <v>https://apps.fcc.gov/edocs_public/Query.do?docket=15-16</v>
      </c>
      <c r="E24" s="5" t="s">
        <v>63</v>
      </c>
      <c r="F24" s="10">
        <v>3</v>
      </c>
      <c r="G24" s="10" t="s">
        <v>64</v>
      </c>
      <c r="H24" s="10" t="s">
        <v>8</v>
      </c>
    </row>
    <row r="25" spans="1:8" s="6" customFormat="1" ht="25.5">
      <c r="A25" s="4" t="s">
        <v>19</v>
      </c>
      <c r="B25" s="4" t="s">
        <v>130</v>
      </c>
      <c r="C25" s="16" t="str">
        <f>HYPERLINK("https://www.fcc.gov/ecfs/search/filings?proceedings_name=12-34&amp;sort=date_disseminated,DESC")</f>
        <v>https://www.fcc.gov/ecfs/search/filings?proceedings_name=12-34&amp;sort=date_disseminated,DESC</v>
      </c>
      <c r="D25" s="16" t="str">
        <f>HYPERLINK("https://apps.fcc.gov/edocs_public/Query.do?docket=12-34")</f>
        <v>https://apps.fcc.gov/edocs_public/Query.do?docket=12-34</v>
      </c>
      <c r="E25" s="5" t="s">
        <v>1093</v>
      </c>
      <c r="F25" s="10">
        <v>5</v>
      </c>
      <c r="G25" s="10" t="s">
        <v>131</v>
      </c>
      <c r="H25" s="10" t="s">
        <v>132</v>
      </c>
    </row>
    <row r="26" spans="1:8" s="6" customFormat="1" ht="25.5">
      <c r="A26" s="4" t="s">
        <v>19</v>
      </c>
      <c r="B26" s="4" t="s">
        <v>133</v>
      </c>
      <c r="C26" s="16" t="str">
        <f>HYPERLINK("https://www.fcc.gov/ecfs/search/filings?proceedings_name=12-35&amp;sort=date_disseminated,DESC")</f>
        <v>https://www.fcc.gov/ecfs/search/filings?proceedings_name=12-35&amp;sort=date_disseminated,DESC</v>
      </c>
      <c r="D26" s="16" t="str">
        <f>HYPERLINK("https://apps.fcc.gov/edocs_public/Query.do?docket=12-35")</f>
        <v>https://apps.fcc.gov/edocs_public/Query.do?docket=12-35</v>
      </c>
      <c r="E26" s="5" t="s">
        <v>1094</v>
      </c>
      <c r="F26" s="10">
        <v>5</v>
      </c>
      <c r="G26" s="10" t="s">
        <v>131</v>
      </c>
      <c r="H26" s="10" t="s">
        <v>134</v>
      </c>
    </row>
    <row r="27" spans="1:8" s="6" customFormat="1" ht="38.25">
      <c r="A27" s="4" t="s">
        <v>19</v>
      </c>
      <c r="B27" s="4" t="s">
        <v>76</v>
      </c>
      <c r="C27" s="16" t="str">
        <f>HYPERLINK("https://www.fcc.gov/ecfs/search/filings?proceedings_name=07-57&amp;sort=date_disseminated,DESC")</f>
        <v>https://www.fcc.gov/ecfs/search/filings?proceedings_name=07-57&amp;sort=date_disseminated,DESC</v>
      </c>
      <c r="D27" s="16" t="str">
        <f>HYPERLINK("https://apps.fcc.gov/edocs_public/Query.do?docket=07-57")</f>
        <v>https://apps.fcc.gov/edocs_public/Query.do?docket=07-57</v>
      </c>
      <c r="E27" s="5" t="s">
        <v>77</v>
      </c>
      <c r="F27" s="10">
        <v>3147</v>
      </c>
      <c r="G27" s="10" t="s">
        <v>78</v>
      </c>
      <c r="H27" s="10" t="s">
        <v>79</v>
      </c>
    </row>
    <row r="28" spans="1:8" s="6" customFormat="1" ht="25.5">
      <c r="A28" s="4" t="s">
        <v>19</v>
      </c>
      <c r="B28" s="4" t="s">
        <v>127</v>
      </c>
      <c r="C28" s="16" t="str">
        <f>HYPERLINK("https://www.fcc.gov/ecfs/search/filings?proceedings_name=12-3&amp;sort=date_disseminated,DESC")</f>
        <v>https://www.fcc.gov/ecfs/search/filings?proceedings_name=12-3&amp;sort=date_disseminated,DESC</v>
      </c>
      <c r="D28" s="16" t="str">
        <f>HYPERLINK("https://apps.fcc.gov/edocs_public/Query.do?docket=12-3")</f>
        <v>https://apps.fcc.gov/edocs_public/Query.do?docket=12-3</v>
      </c>
      <c r="E28" s="5" t="s">
        <v>128</v>
      </c>
      <c r="F28" s="10">
        <v>823</v>
      </c>
      <c r="G28" s="10" t="s">
        <v>129</v>
      </c>
      <c r="H28" s="10" t="s">
        <v>66</v>
      </c>
    </row>
    <row r="29" spans="1:8" s="6" customFormat="1" ht="12.75">
      <c r="A29" s="4" t="s">
        <v>19</v>
      </c>
      <c r="B29" s="4" t="s">
        <v>68</v>
      </c>
      <c r="C29" s="16" t="str">
        <f>HYPERLINK("https://www.fcc.gov/ecfs/search/filings?proceedings_name=04-228&amp;sort=date_disseminated,DESC")</f>
        <v>https://www.fcc.gov/ecfs/search/filings?proceedings_name=04-228&amp;sort=date_disseminated,DESC</v>
      </c>
      <c r="D29" s="16" t="str">
        <f>HYPERLINK("https://apps.fcc.gov/edocs_public/Query.do?docket=04-228")</f>
        <v>https://apps.fcc.gov/edocs_public/Query.do?docket=04-228</v>
      </c>
      <c r="E29" s="5" t="s">
        <v>1114</v>
      </c>
      <c r="F29" s="10">
        <v>187</v>
      </c>
      <c r="G29" s="10" t="s">
        <v>69</v>
      </c>
      <c r="H29" s="10" t="s">
        <v>70</v>
      </c>
    </row>
    <row r="30" spans="1:8" s="6" customFormat="1" ht="25.5">
      <c r="A30" s="4" t="s">
        <v>19</v>
      </c>
      <c r="B30" s="4" t="s">
        <v>73</v>
      </c>
      <c r="C30" s="16" t="str">
        <f>HYPERLINK("https://www.fcc.gov/ecfs/search/filings?proceedings_name=05-312&amp;sort=date_disseminated,DESC")</f>
        <v>https://www.fcc.gov/ecfs/search/filings?proceedings_name=05-312&amp;sort=date_disseminated,DESC</v>
      </c>
      <c r="D30" s="16" t="str">
        <f>HYPERLINK("https://apps.fcc.gov/edocs_public/Query.do?docket=05-312")</f>
        <v>https://apps.fcc.gov/edocs_public/Query.do?docket=05-312</v>
      </c>
      <c r="E30" s="5" t="s">
        <v>1115</v>
      </c>
      <c r="F30" s="10">
        <v>83</v>
      </c>
      <c r="G30" s="10" t="s">
        <v>74</v>
      </c>
      <c r="H30" s="10" t="s">
        <v>75</v>
      </c>
    </row>
    <row r="31" spans="1:8" s="6" customFormat="1" ht="25.5">
      <c r="A31" s="4" t="s">
        <v>19</v>
      </c>
      <c r="B31" s="4" t="s">
        <v>81</v>
      </c>
      <c r="C31" s="16" t="str">
        <f>HYPERLINK("https://www.fcc.gov/ecfs/search/filings?proceedings_name=11-189&amp;sort=date_disseminated,DESC")</f>
        <v>https://www.fcc.gov/ecfs/search/filings?proceedings_name=11-189&amp;sort=date_disseminated,DESC</v>
      </c>
      <c r="D31" s="16" t="str">
        <f>HYPERLINK("https://apps.fcc.gov/edocs_public/Query.do?docket=11-189")</f>
        <v>https://apps.fcc.gov/edocs_public/Query.do?docket=11-189</v>
      </c>
      <c r="E31" s="5" t="s">
        <v>1116</v>
      </c>
      <c r="F31" s="10">
        <v>62</v>
      </c>
      <c r="G31" s="10" t="s">
        <v>82</v>
      </c>
      <c r="H31" s="10" t="s">
        <v>83</v>
      </c>
    </row>
    <row r="32" spans="1:8" s="6" customFormat="1" ht="12.75">
      <c r="A32" s="4" t="s">
        <v>19</v>
      </c>
      <c r="B32" s="4" t="s">
        <v>85</v>
      </c>
      <c r="C32" s="16" t="str">
        <f>HYPERLINK("https://www.fcc.gov/ecfs/search/filings?proceedings_name=12-113&amp;sort=date_disseminated,DESC")</f>
        <v>https://www.fcc.gov/ecfs/search/filings?proceedings_name=12-113&amp;sort=date_disseminated,DESC</v>
      </c>
      <c r="D32" s="16" t="str">
        <f>HYPERLINK("https://apps.fcc.gov/edocs_public/Query.do?docket=12-113")</f>
        <v>https://apps.fcc.gov/edocs_public/Query.do?docket=12-113</v>
      </c>
      <c r="E32" s="5" t="s">
        <v>1140</v>
      </c>
      <c r="F32" s="10">
        <v>34</v>
      </c>
      <c r="G32" s="10" t="s">
        <v>86</v>
      </c>
      <c r="H32" s="10" t="s">
        <v>87</v>
      </c>
    </row>
    <row r="33" spans="1:8" s="6" customFormat="1" ht="51">
      <c r="A33" s="4" t="s">
        <v>19</v>
      </c>
      <c r="B33" s="4" t="s">
        <v>88</v>
      </c>
      <c r="C33" s="16" t="str">
        <f>HYPERLINK("https://www.fcc.gov/ecfs/search/filings?proceedings_name=12-121&amp;sort=date_disseminated,DESC")</f>
        <v>https://www.fcc.gov/ecfs/search/filings?proceedings_name=12-121&amp;sort=date_disseminated,DESC</v>
      </c>
      <c r="D33" s="16" t="str">
        <f>HYPERLINK("https://apps.fcc.gov/edocs_public/Query.do?docket=12-121")</f>
        <v>https://apps.fcc.gov/edocs_public/Query.do?docket=12-121</v>
      </c>
      <c r="E33" s="5" t="s">
        <v>89</v>
      </c>
      <c r="F33" s="10">
        <v>23</v>
      </c>
      <c r="G33" s="10" t="s">
        <v>90</v>
      </c>
      <c r="H33" s="10" t="s">
        <v>91</v>
      </c>
    </row>
    <row r="34" spans="1:8" s="6" customFormat="1" ht="12.75">
      <c r="A34" s="4" t="s">
        <v>19</v>
      </c>
      <c r="B34" s="4" t="s">
        <v>289</v>
      </c>
      <c r="C34" s="16" t="s">
        <v>290</v>
      </c>
      <c r="D34" s="16" t="s">
        <v>291</v>
      </c>
      <c r="E34" s="5" t="s">
        <v>292</v>
      </c>
      <c r="F34" s="10">
        <v>26</v>
      </c>
      <c r="G34" s="12">
        <v>41067</v>
      </c>
      <c r="H34" s="12">
        <v>42962</v>
      </c>
    </row>
    <row r="35" spans="1:8" s="6" customFormat="1" ht="12.75">
      <c r="A35" s="4" t="s">
        <v>19</v>
      </c>
      <c r="B35" s="4" t="s">
        <v>92</v>
      </c>
      <c r="C35" s="16" t="str">
        <f>HYPERLINK("https://www.fcc.gov/ecfs/search/filings?proceedings_name=12-159&amp;sort=date_disseminated,DESC")</f>
        <v>https://www.fcc.gov/ecfs/search/filings?proceedings_name=12-159&amp;sort=date_disseminated,DESC</v>
      </c>
      <c r="D35" s="16" t="str">
        <f>HYPERLINK("https://apps.fcc.gov/edocs_public/Query.do?docket=12-159")</f>
        <v>https://apps.fcc.gov/edocs_public/Query.do?docket=12-159</v>
      </c>
      <c r="E35" s="5" t="s">
        <v>93</v>
      </c>
      <c r="F35" s="10">
        <v>17</v>
      </c>
      <c r="G35" s="10" t="s">
        <v>94</v>
      </c>
      <c r="H35" s="10" t="s">
        <v>95</v>
      </c>
    </row>
    <row r="36" spans="1:8" s="6" customFormat="1" ht="12.75">
      <c r="A36" s="4" t="s">
        <v>19</v>
      </c>
      <c r="B36" s="4" t="s">
        <v>96</v>
      </c>
      <c r="C36" s="16" t="str">
        <f>HYPERLINK("https://www.fcc.gov/ecfs/search/filings?proceedings_name=12-160&amp;sort=date_disseminated,DESC")</f>
        <v>https://www.fcc.gov/ecfs/search/filings?proceedings_name=12-160&amp;sort=date_disseminated,DESC</v>
      </c>
      <c r="D36" s="16" t="str">
        <f>HYPERLINK("https://apps.fcc.gov/edocs_public/Query.do?docket=12-160")</f>
        <v>https://apps.fcc.gov/edocs_public/Query.do?docket=12-160</v>
      </c>
      <c r="E36" s="5" t="s">
        <v>97</v>
      </c>
      <c r="F36" s="10">
        <v>17</v>
      </c>
      <c r="G36" s="10" t="s">
        <v>94</v>
      </c>
      <c r="H36" s="10" t="s">
        <v>95</v>
      </c>
    </row>
    <row r="37" spans="1:8" s="6" customFormat="1" ht="12.75">
      <c r="A37" s="4" t="s">
        <v>19</v>
      </c>
      <c r="B37" s="4" t="s">
        <v>98</v>
      </c>
      <c r="C37" s="16" t="str">
        <f>HYPERLINK("https://www.fcc.gov/ecfs/search/filings?proceedings_name=12-161&amp;sort=date_disseminated,DESC")</f>
        <v>https://www.fcc.gov/ecfs/search/filings?proceedings_name=12-161&amp;sort=date_disseminated,DESC</v>
      </c>
      <c r="D37" s="16" t="str">
        <f>HYPERLINK("https://apps.fcc.gov/edocs_public/Query.do?docket=12-161")</f>
        <v>https://apps.fcc.gov/edocs_public/Query.do?docket=12-161</v>
      </c>
      <c r="E37" s="5" t="s">
        <v>99</v>
      </c>
      <c r="F37" s="10">
        <v>17</v>
      </c>
      <c r="G37" s="10" t="s">
        <v>94</v>
      </c>
      <c r="H37" s="10" t="s">
        <v>95</v>
      </c>
    </row>
    <row r="38" spans="1:8" s="6" customFormat="1" ht="12.75">
      <c r="A38" s="4" t="s">
        <v>19</v>
      </c>
      <c r="B38" s="4" t="s">
        <v>293</v>
      </c>
      <c r="C38" s="16" t="s">
        <v>290</v>
      </c>
      <c r="D38" s="16" t="s">
        <v>294</v>
      </c>
      <c r="E38" s="5" t="s">
        <v>292</v>
      </c>
      <c r="F38" s="10">
        <v>8</v>
      </c>
      <c r="G38" s="12">
        <v>41082</v>
      </c>
      <c r="H38" s="12">
        <v>42962</v>
      </c>
    </row>
    <row r="39" spans="1:8" s="6" customFormat="1" ht="12.75">
      <c r="A39" s="4" t="s">
        <v>19</v>
      </c>
      <c r="B39" s="4" t="s">
        <v>100</v>
      </c>
      <c r="C39" s="16" t="str">
        <f>HYPERLINK("https://www.fcc.gov/ecfs/search/filings?proceedings_name=12-163&amp;sort=date_disseminated,DESC")</f>
        <v>https://www.fcc.gov/ecfs/search/filings?proceedings_name=12-163&amp;sort=date_disseminated,DESC</v>
      </c>
      <c r="D39" s="16" t="str">
        <f>HYPERLINK("https://apps.fcc.gov/edocs_public/Query.do?docket=12-163")</f>
        <v>https://apps.fcc.gov/edocs_public/Query.do?docket=12-163</v>
      </c>
      <c r="E39" s="5" t="s">
        <v>101</v>
      </c>
      <c r="F39" s="10">
        <v>7</v>
      </c>
      <c r="G39" s="10" t="s">
        <v>94</v>
      </c>
      <c r="H39" s="10" t="s">
        <v>95</v>
      </c>
    </row>
    <row r="40" spans="1:8" s="6" customFormat="1" ht="25.5">
      <c r="A40" s="4" t="s">
        <v>19</v>
      </c>
      <c r="B40" s="4" t="s">
        <v>102</v>
      </c>
      <c r="C40" s="16" t="str">
        <f>HYPERLINK("https://www.fcc.gov/ecfs/search/filings?proceedings_name=12-164&amp;sort=date_disseminated,DESC")</f>
        <v>https://www.fcc.gov/ecfs/search/filings?proceedings_name=12-164&amp;sort=date_disseminated,DESC</v>
      </c>
      <c r="D40" s="16" t="str">
        <f>HYPERLINK("https://apps.fcc.gov/edocs_public/Query.do?docket=12-164")</f>
        <v>https://apps.fcc.gov/edocs_public/Query.do?docket=12-164</v>
      </c>
      <c r="E40" s="5" t="s">
        <v>103</v>
      </c>
      <c r="F40" s="10">
        <v>16</v>
      </c>
      <c r="G40" s="10" t="s">
        <v>94</v>
      </c>
      <c r="H40" s="10" t="s">
        <v>95</v>
      </c>
    </row>
    <row r="41" spans="1:8" s="6" customFormat="1" ht="12.75">
      <c r="A41" s="4" t="s">
        <v>19</v>
      </c>
      <c r="B41" s="4" t="s">
        <v>104</v>
      </c>
      <c r="C41" s="16" t="str">
        <f>HYPERLINK("https://www.fcc.gov/ecfs/search/filings?proceedings_name=12-165&amp;sort=date_disseminated,DESC")</f>
        <v>https://www.fcc.gov/ecfs/search/filings?proceedings_name=12-165&amp;sort=date_disseminated,DESC</v>
      </c>
      <c r="D41" s="16" t="str">
        <f>HYPERLINK("https://apps.fcc.gov/edocs_public/Query.do?docket=12-165")</f>
        <v>https://apps.fcc.gov/edocs_public/Query.do?docket=12-165</v>
      </c>
      <c r="E41" s="5" t="s">
        <v>105</v>
      </c>
      <c r="F41" s="10">
        <v>17</v>
      </c>
      <c r="G41" s="10" t="s">
        <v>94</v>
      </c>
      <c r="H41" s="10" t="s">
        <v>95</v>
      </c>
    </row>
    <row r="42" spans="1:8" s="6" customFormat="1" ht="12.75">
      <c r="A42" s="4" t="s">
        <v>19</v>
      </c>
      <c r="B42" s="4" t="s">
        <v>106</v>
      </c>
      <c r="C42" s="16" t="str">
        <f>HYPERLINK("https://www.fcc.gov/ecfs/search/filings?proceedings_name=12-166&amp;sort=date_disseminated,DESC")</f>
        <v>https://www.fcc.gov/ecfs/search/filings?proceedings_name=12-166&amp;sort=date_disseminated,DESC</v>
      </c>
      <c r="D42" s="16" t="str">
        <f>HYPERLINK("https://apps.fcc.gov/edocs_public/Query.do?docket=12-166")</f>
        <v>https://apps.fcc.gov/edocs_public/Query.do?docket=12-166</v>
      </c>
      <c r="E42" s="5" t="s">
        <v>107</v>
      </c>
      <c r="F42" s="10">
        <v>16</v>
      </c>
      <c r="G42" s="10" t="s">
        <v>94</v>
      </c>
      <c r="H42" s="10" t="s">
        <v>95</v>
      </c>
    </row>
    <row r="43" spans="1:8" s="6" customFormat="1" ht="12.75">
      <c r="A43" s="4" t="s">
        <v>19</v>
      </c>
      <c r="B43" s="4" t="s">
        <v>295</v>
      </c>
      <c r="C43" s="16" t="s">
        <v>296</v>
      </c>
      <c r="D43" s="16" t="s">
        <v>297</v>
      </c>
      <c r="E43" s="5" t="s">
        <v>298</v>
      </c>
      <c r="F43" s="10">
        <v>9</v>
      </c>
      <c r="G43" s="12">
        <v>41082</v>
      </c>
      <c r="H43" s="12">
        <v>42466</v>
      </c>
    </row>
    <row r="44" spans="1:8" s="6" customFormat="1" ht="12.75">
      <c r="A44" s="4" t="s">
        <v>19</v>
      </c>
      <c r="B44" s="4" t="s">
        <v>299</v>
      </c>
      <c r="C44" s="16" t="s">
        <v>300</v>
      </c>
      <c r="D44" s="16" t="s">
        <v>301</v>
      </c>
      <c r="E44" s="5" t="s">
        <v>298</v>
      </c>
      <c r="F44" s="10">
        <v>14</v>
      </c>
      <c r="G44" s="12">
        <v>41082</v>
      </c>
      <c r="H44" s="12">
        <v>42481</v>
      </c>
    </row>
    <row r="45" spans="1:8" s="6" customFormat="1" ht="12.75">
      <c r="A45" s="4" t="s">
        <v>19</v>
      </c>
      <c r="B45" s="4" t="s">
        <v>108</v>
      </c>
      <c r="C45" s="16" t="str">
        <f>HYPERLINK("https://www.fcc.gov/ecfs/search/filings?proceedings_name=12-180&amp;sort=date_disseminated,DESC")</f>
        <v>https://www.fcc.gov/ecfs/search/filings?proceedings_name=12-180&amp;sort=date_disseminated,DESC</v>
      </c>
      <c r="D45" s="16" t="str">
        <f>HYPERLINK("https://apps.fcc.gov/edocs_public/Query.do?docket=12-180")</f>
        <v>https://apps.fcc.gov/edocs_public/Query.do?docket=12-180</v>
      </c>
      <c r="E45" s="5" t="s">
        <v>109</v>
      </c>
      <c r="F45" s="10">
        <v>16</v>
      </c>
      <c r="G45" s="10" t="s">
        <v>110</v>
      </c>
      <c r="H45" s="10" t="s">
        <v>95</v>
      </c>
    </row>
    <row r="46" spans="1:8" s="6" customFormat="1" ht="25.5">
      <c r="A46" s="4" t="s">
        <v>19</v>
      </c>
      <c r="B46" s="4" t="s">
        <v>111</v>
      </c>
      <c r="C46" s="16" t="str">
        <f>HYPERLINK("https://www.fcc.gov/ecfs/search/filings?proceedings_name=12-181&amp;sort=date_disseminated,DESC")</f>
        <v>https://www.fcc.gov/ecfs/search/filings?proceedings_name=12-181&amp;sort=date_disseminated,DESC</v>
      </c>
      <c r="D46" s="16" t="str">
        <f>HYPERLINK("https://apps.fcc.gov/edocs_public/Query.do?docket=12-181")</f>
        <v>https://apps.fcc.gov/edocs_public/Query.do?docket=12-181</v>
      </c>
      <c r="E46" s="5" t="s">
        <v>112</v>
      </c>
      <c r="F46" s="10">
        <v>20</v>
      </c>
      <c r="G46" s="10" t="s">
        <v>110</v>
      </c>
      <c r="H46" s="10" t="s">
        <v>87</v>
      </c>
    </row>
    <row r="47" spans="1:8" s="6" customFormat="1" ht="12.75">
      <c r="A47" s="4" t="s">
        <v>19</v>
      </c>
      <c r="B47" s="4" t="s">
        <v>113</v>
      </c>
      <c r="C47" s="16" t="str">
        <f>HYPERLINK("https://www.fcc.gov/ecfs/search/filings?proceedings_name=12-183&amp;sort=date_disseminated,DESC")</f>
        <v>https://www.fcc.gov/ecfs/search/filings?proceedings_name=12-183&amp;sort=date_disseminated,DESC</v>
      </c>
      <c r="D47" s="16" t="str">
        <f>HYPERLINK("https://apps.fcc.gov/edocs_public/Query.do?docket=12-183")</f>
        <v>https://apps.fcc.gov/edocs_public/Query.do?docket=12-183</v>
      </c>
      <c r="E47" s="5" t="s">
        <v>114</v>
      </c>
      <c r="F47" s="10">
        <v>17</v>
      </c>
      <c r="G47" s="10" t="s">
        <v>110</v>
      </c>
      <c r="H47" s="10" t="s">
        <v>95</v>
      </c>
    </row>
    <row r="48" spans="1:8" s="6" customFormat="1" ht="12.75">
      <c r="A48" s="4" t="s">
        <v>19</v>
      </c>
      <c r="B48" s="4" t="s">
        <v>302</v>
      </c>
      <c r="C48" s="16" t="s">
        <v>303</v>
      </c>
      <c r="D48" s="16" t="s">
        <v>304</v>
      </c>
      <c r="E48" s="5" t="s">
        <v>292</v>
      </c>
      <c r="F48" s="10">
        <v>15</v>
      </c>
      <c r="G48" s="12">
        <v>41103</v>
      </c>
      <c r="H48" s="12">
        <v>42962</v>
      </c>
    </row>
    <row r="49" spans="1:8" s="6" customFormat="1" ht="12.75">
      <c r="A49" s="4" t="s">
        <v>19</v>
      </c>
      <c r="B49" s="4" t="s">
        <v>117</v>
      </c>
      <c r="C49" s="16" t="str">
        <f>HYPERLINK("https://www.fcc.gov/ecfs/search/filings?proceedings_name=12-222&amp;sort=date_disseminated,DESC")</f>
        <v>https://www.fcc.gov/ecfs/search/filings?proceedings_name=12-222&amp;sort=date_disseminated,DESC</v>
      </c>
      <c r="D49" s="16" t="str">
        <f>HYPERLINK("https://apps.fcc.gov/edocs_public/Query.do?docket=12-222")</f>
        <v>https://apps.fcc.gov/edocs_public/Query.do?docket=12-222</v>
      </c>
      <c r="E49" s="5" t="s">
        <v>118</v>
      </c>
      <c r="F49" s="10">
        <v>22</v>
      </c>
      <c r="G49" s="10" t="s">
        <v>116</v>
      </c>
      <c r="H49" s="10" t="s">
        <v>119</v>
      </c>
    </row>
    <row r="50" spans="1:8" s="6" customFormat="1" ht="12.75">
      <c r="A50" s="4" t="s">
        <v>19</v>
      </c>
      <c r="B50" s="4" t="s">
        <v>120</v>
      </c>
      <c r="C50" s="16" t="str">
        <f>HYPERLINK("https://www.fcc.gov/ecfs/search/filings?proceedings_name=12-257&amp;sort=date_disseminated,DESC")</f>
        <v>https://www.fcc.gov/ecfs/search/filings?proceedings_name=12-257&amp;sort=date_disseminated,DESC</v>
      </c>
      <c r="D50" s="16" t="str">
        <f>HYPERLINK("https://apps.fcc.gov/edocs_public/Query.do?docket=12-257")</f>
        <v>https://apps.fcc.gov/edocs_public/Query.do?docket=12-257</v>
      </c>
      <c r="E50" s="5" t="s">
        <v>121</v>
      </c>
      <c r="F50" s="10">
        <v>3</v>
      </c>
      <c r="G50" s="10" t="s">
        <v>122</v>
      </c>
      <c r="H50" s="10" t="s">
        <v>123</v>
      </c>
    </row>
    <row r="51" spans="1:8" s="6" customFormat="1" ht="12.75">
      <c r="A51" s="4" t="s">
        <v>19</v>
      </c>
      <c r="B51" s="4" t="s">
        <v>124</v>
      </c>
      <c r="C51" s="16" t="str">
        <f>HYPERLINK("https://www.fcc.gov/ecfs/search/filings?proceedings_name=12-266&amp;sort=date_disseminated,DESC")</f>
        <v>https://www.fcc.gov/ecfs/search/filings?proceedings_name=12-266&amp;sort=date_disseminated,DESC</v>
      </c>
      <c r="D51" s="16" t="str">
        <f>HYPERLINK("https://apps.fcc.gov/edocs_public/Query.do?docket=12-266")</f>
        <v>https://apps.fcc.gov/edocs_public/Query.do?docket=12-266</v>
      </c>
      <c r="E51" s="5" t="s">
        <v>125</v>
      </c>
      <c r="F51" s="10">
        <v>21</v>
      </c>
      <c r="G51" s="10" t="s">
        <v>126</v>
      </c>
      <c r="H51" s="10" t="s">
        <v>87</v>
      </c>
    </row>
    <row r="52" spans="1:8" s="6" customFormat="1" ht="12.75">
      <c r="A52" s="4" t="s">
        <v>19</v>
      </c>
      <c r="B52" s="4" t="s">
        <v>305</v>
      </c>
      <c r="C52" s="16" t="s">
        <v>306</v>
      </c>
      <c r="D52" s="16" t="s">
        <v>307</v>
      </c>
      <c r="E52" s="5" t="s">
        <v>308</v>
      </c>
      <c r="F52" s="10">
        <v>8</v>
      </c>
      <c r="G52" s="12">
        <v>41200</v>
      </c>
      <c r="H52" s="12">
        <v>42489</v>
      </c>
    </row>
    <row r="53" spans="1:8" s="6" customFormat="1" ht="12.75">
      <c r="A53" s="4" t="s">
        <v>19</v>
      </c>
      <c r="B53" s="4" t="s">
        <v>135</v>
      </c>
      <c r="C53" s="16" t="str">
        <f>HYPERLINK("https://www.fcc.gov/ecfs/search/filings?proceedings_name=12-365&amp;sort=date_disseminated,DESC")</f>
        <v>https://www.fcc.gov/ecfs/search/filings?proceedings_name=12-365&amp;sort=date_disseminated,DESC</v>
      </c>
      <c r="D53" s="16" t="str">
        <f>HYPERLINK("https://apps.fcc.gov/edocs_public/Query.do?docket=12-365")</f>
        <v>https://apps.fcc.gov/edocs_public/Query.do?docket=12-365</v>
      </c>
      <c r="E53" s="5" t="s">
        <v>136</v>
      </c>
      <c r="F53" s="10">
        <v>30</v>
      </c>
      <c r="G53" s="10" t="s">
        <v>137</v>
      </c>
      <c r="H53" s="10" t="s">
        <v>35</v>
      </c>
    </row>
    <row r="54" spans="1:8" s="6" customFormat="1" ht="12.75">
      <c r="A54" s="4" t="s">
        <v>19</v>
      </c>
      <c r="B54" s="4" t="s">
        <v>139</v>
      </c>
      <c r="C54" s="16" t="str">
        <f>HYPERLINK("https://www.fcc.gov/ecfs/search/filings?proceedings_name=13-131&amp;sort=date_disseminated,DESC")</f>
        <v>https://www.fcc.gov/ecfs/search/filings?proceedings_name=13-131&amp;sort=date_disseminated,DESC</v>
      </c>
      <c r="D54" s="16" t="str">
        <f>HYPERLINK("https://apps.fcc.gov/edocs_public/Query.do?docket=13-131")</f>
        <v>https://apps.fcc.gov/edocs_public/Query.do?docket=13-131</v>
      </c>
      <c r="E54" s="5" t="s">
        <v>140</v>
      </c>
      <c r="F54" s="10">
        <v>5</v>
      </c>
      <c r="G54" s="10" t="s">
        <v>141</v>
      </c>
      <c r="H54" s="10" t="s">
        <v>142</v>
      </c>
    </row>
    <row r="55" spans="1:8" s="6" customFormat="1" ht="12.75">
      <c r="A55" s="4" t="s">
        <v>19</v>
      </c>
      <c r="B55" s="4" t="s">
        <v>309</v>
      </c>
      <c r="C55" s="16" t="s">
        <v>310</v>
      </c>
      <c r="D55" s="16" t="s">
        <v>311</v>
      </c>
      <c r="E55" s="4" t="s">
        <v>140</v>
      </c>
      <c r="F55" s="10">
        <v>5</v>
      </c>
      <c r="G55" s="12">
        <v>41439</v>
      </c>
      <c r="H55" s="12">
        <v>42481</v>
      </c>
    </row>
    <row r="56" spans="1:8" s="6" customFormat="1" ht="12.75">
      <c r="A56" s="4" t="s">
        <v>19</v>
      </c>
      <c r="B56" s="7" t="s">
        <v>312</v>
      </c>
      <c r="C56" s="16" t="s">
        <v>313</v>
      </c>
      <c r="D56" s="16" t="s">
        <v>311</v>
      </c>
      <c r="E56" s="4" t="s">
        <v>140</v>
      </c>
      <c r="F56" s="10">
        <v>5</v>
      </c>
      <c r="G56" s="12">
        <v>41439</v>
      </c>
      <c r="H56" s="12">
        <v>42481</v>
      </c>
    </row>
    <row r="57" spans="1:8" s="6" customFormat="1" ht="12.75">
      <c r="A57" s="4" t="s">
        <v>19</v>
      </c>
      <c r="B57" s="7" t="s">
        <v>314</v>
      </c>
      <c r="C57" s="16" t="s">
        <v>315</v>
      </c>
      <c r="D57" s="16" t="s">
        <v>316</v>
      </c>
      <c r="E57" s="4" t="s">
        <v>140</v>
      </c>
      <c r="F57" s="10">
        <v>6</v>
      </c>
      <c r="G57" s="12">
        <v>41439</v>
      </c>
      <c r="H57" s="12">
        <v>42979</v>
      </c>
    </row>
    <row r="58" spans="1:8" s="6" customFormat="1" ht="12.75">
      <c r="A58" s="4" t="s">
        <v>19</v>
      </c>
      <c r="B58" s="4" t="s">
        <v>143</v>
      </c>
      <c r="C58" s="16" t="str">
        <f>HYPERLINK("https://www.fcc.gov/ecfs/search/filings?proceedings_name=13-16&amp;sort=date_disseminated,DESC")</f>
        <v>https://www.fcc.gov/ecfs/search/filings?proceedings_name=13-16&amp;sort=date_disseminated,DESC</v>
      </c>
      <c r="D58" s="16" t="str">
        <f>HYPERLINK("https://apps.fcc.gov/edocs_public/Query.do?docket=13-16")</f>
        <v>https://apps.fcc.gov/edocs_public/Query.do?docket=13-16</v>
      </c>
      <c r="E58" s="5" t="s">
        <v>144</v>
      </c>
      <c r="F58" s="10">
        <v>12</v>
      </c>
      <c r="G58" s="10" t="s">
        <v>145</v>
      </c>
      <c r="H58" s="10" t="s">
        <v>146</v>
      </c>
    </row>
    <row r="59" spans="1:8" s="6" customFormat="1" ht="12.75">
      <c r="A59" s="4" t="s">
        <v>19</v>
      </c>
      <c r="B59" s="7" t="s">
        <v>317</v>
      </c>
      <c r="C59" s="16" t="s">
        <v>318</v>
      </c>
      <c r="D59" s="16" t="s">
        <v>319</v>
      </c>
      <c r="E59" s="4" t="s">
        <v>140</v>
      </c>
      <c r="F59" s="10">
        <v>5</v>
      </c>
      <c r="G59" s="12">
        <v>41439</v>
      </c>
      <c r="H59" s="12">
        <v>42481</v>
      </c>
    </row>
    <row r="60" spans="1:8" s="6" customFormat="1" ht="12.75">
      <c r="A60" s="4" t="s">
        <v>19</v>
      </c>
      <c r="B60" s="7" t="s">
        <v>320</v>
      </c>
      <c r="C60" s="17" t="s">
        <v>321</v>
      </c>
      <c r="D60" s="17" t="s">
        <v>322</v>
      </c>
      <c r="E60" s="4" t="s">
        <v>140</v>
      </c>
      <c r="F60" s="10">
        <v>6</v>
      </c>
      <c r="G60" s="12">
        <v>41439</v>
      </c>
      <c r="H60" s="12">
        <v>42962</v>
      </c>
    </row>
    <row r="61" spans="1:8" s="6" customFormat="1" ht="12.75">
      <c r="A61" s="4" t="s">
        <v>19</v>
      </c>
      <c r="B61" s="7" t="s">
        <v>323</v>
      </c>
      <c r="C61" s="17" t="s">
        <v>324</v>
      </c>
      <c r="D61" s="17" t="s">
        <v>325</v>
      </c>
      <c r="E61" s="4" t="s">
        <v>140</v>
      </c>
      <c r="F61" s="10">
        <v>4</v>
      </c>
      <c r="G61" s="12">
        <v>41452</v>
      </c>
      <c r="H61" s="12">
        <v>42481</v>
      </c>
    </row>
    <row r="62" spans="1:8" s="6" customFormat="1" ht="12.75">
      <c r="A62" s="4" t="s">
        <v>19</v>
      </c>
      <c r="B62" s="7" t="s">
        <v>326</v>
      </c>
      <c r="C62" s="17" t="s">
        <v>327</v>
      </c>
      <c r="D62" s="17" t="s">
        <v>328</v>
      </c>
      <c r="E62" s="4" t="s">
        <v>140</v>
      </c>
      <c r="F62" s="10">
        <v>10</v>
      </c>
      <c r="G62" s="12">
        <v>41452</v>
      </c>
      <c r="H62" s="12">
        <v>42962</v>
      </c>
    </row>
    <row r="63" spans="1:8" s="6" customFormat="1" ht="12.75">
      <c r="A63" s="4" t="s">
        <v>19</v>
      </c>
      <c r="B63" s="7" t="s">
        <v>329</v>
      </c>
      <c r="C63" s="17" t="s">
        <v>330</v>
      </c>
      <c r="D63" s="17" t="s">
        <v>331</v>
      </c>
      <c r="E63" s="4" t="s">
        <v>140</v>
      </c>
      <c r="F63" s="10">
        <v>5</v>
      </c>
      <c r="G63" s="12">
        <v>41452</v>
      </c>
      <c r="H63" s="12">
        <v>42481</v>
      </c>
    </row>
    <row r="64" spans="1:8" s="6" customFormat="1" ht="12.75">
      <c r="A64" s="4" t="s">
        <v>19</v>
      </c>
      <c r="B64" s="7" t="s">
        <v>332</v>
      </c>
      <c r="C64" s="17" t="s">
        <v>333</v>
      </c>
      <c r="D64" s="17" t="s">
        <v>334</v>
      </c>
      <c r="E64" s="4" t="s">
        <v>140</v>
      </c>
      <c r="F64" s="10">
        <v>6</v>
      </c>
      <c r="G64" s="12">
        <v>41452</v>
      </c>
      <c r="H64" s="12">
        <v>42962</v>
      </c>
    </row>
    <row r="65" spans="1:8" s="6" customFormat="1" ht="12.75">
      <c r="A65" s="4" t="s">
        <v>19</v>
      </c>
      <c r="B65" s="7" t="s">
        <v>335</v>
      </c>
      <c r="C65" s="16" t="s">
        <v>336</v>
      </c>
      <c r="D65" s="16" t="s">
        <v>337</v>
      </c>
      <c r="E65" s="4" t="s">
        <v>140</v>
      </c>
      <c r="F65" s="10">
        <v>4</v>
      </c>
      <c r="G65" s="12">
        <v>41452</v>
      </c>
      <c r="H65" s="12">
        <v>42962</v>
      </c>
    </row>
    <row r="66" spans="1:8" s="6" customFormat="1" ht="12.75">
      <c r="A66" s="4" t="s">
        <v>19</v>
      </c>
      <c r="B66" s="4" t="s">
        <v>147</v>
      </c>
      <c r="C66" s="16" t="str">
        <f>HYPERLINK("https://www.fcc.gov/ecfs/search/filings?proceedings_name=13-181&amp;sort=date_disseminated,DESC")</f>
        <v>https://www.fcc.gov/ecfs/search/filings?proceedings_name=13-181&amp;sort=date_disseminated,DESC</v>
      </c>
      <c r="D66" s="16" t="str">
        <f>HYPERLINK("https://apps.fcc.gov/edocs_public/Query.do?docket=13-181")</f>
        <v>https://apps.fcc.gov/edocs_public/Query.do?docket=13-181</v>
      </c>
      <c r="E66" s="5" t="s">
        <v>148</v>
      </c>
      <c r="F66" s="10">
        <v>8</v>
      </c>
      <c r="G66" s="10" t="s">
        <v>149</v>
      </c>
      <c r="H66" s="10" t="s">
        <v>150</v>
      </c>
    </row>
    <row r="67" spans="1:8" s="6" customFormat="1" ht="12.75">
      <c r="A67" s="4" t="s">
        <v>19</v>
      </c>
      <c r="B67" s="4" t="s">
        <v>151</v>
      </c>
      <c r="C67" s="16" t="str">
        <f>HYPERLINK("https://www.fcc.gov/ecfs/search/filings?proceedings_name=13-198&amp;sort=date_disseminated,DESC")</f>
        <v>https://www.fcc.gov/ecfs/search/filings?proceedings_name=13-198&amp;sort=date_disseminated,DESC</v>
      </c>
      <c r="D67" s="16" t="str">
        <f>HYPERLINK("https://apps.fcc.gov/edocs_public/Query.do?docket=13-198")</f>
        <v>https://apps.fcc.gov/edocs_public/Query.do?docket=13-198</v>
      </c>
      <c r="E67" s="5" t="s">
        <v>140</v>
      </c>
      <c r="F67" s="10">
        <v>11</v>
      </c>
      <c r="G67" s="10" t="s">
        <v>152</v>
      </c>
      <c r="H67" s="10" t="s">
        <v>153</v>
      </c>
    </row>
    <row r="68" spans="1:8" s="6" customFormat="1" ht="12.75">
      <c r="A68" s="4" t="s">
        <v>19</v>
      </c>
      <c r="B68" s="4" t="s">
        <v>154</v>
      </c>
      <c r="C68" s="16" t="str">
        <f>HYPERLINK("https://www.fcc.gov/ecfs/search/filings?proceedings_name=13-214&amp;sort=date_disseminated,DESC")</f>
        <v>https://www.fcc.gov/ecfs/search/filings?proceedings_name=13-214&amp;sort=date_disseminated,DESC</v>
      </c>
      <c r="D68" s="16" t="str">
        <f>HYPERLINK("https://apps.fcc.gov/edocs_public/Query.do?docket=13-214")</f>
        <v>https://apps.fcc.gov/edocs_public/Query.do?docket=13-214</v>
      </c>
      <c r="E68" s="5" t="s">
        <v>155</v>
      </c>
      <c r="F68" s="10">
        <v>4</v>
      </c>
      <c r="G68" s="10" t="s">
        <v>156</v>
      </c>
      <c r="H68" s="10" t="s">
        <v>157</v>
      </c>
    </row>
    <row r="69" spans="1:8" s="6" customFormat="1" ht="12.75">
      <c r="A69" s="4" t="s">
        <v>19</v>
      </c>
      <c r="B69" s="4" t="s">
        <v>158</v>
      </c>
      <c r="C69" s="16" t="str">
        <f>HYPERLINK("https://www.fcc.gov/ecfs/search/filings?proceedings_name=13-244&amp;sort=date_disseminated,DESC")</f>
        <v>https://www.fcc.gov/ecfs/search/filings?proceedings_name=13-244&amp;sort=date_disseminated,DESC</v>
      </c>
      <c r="D69" s="16" t="str">
        <f>HYPERLINK("https://apps.fcc.gov/edocs_public/Query.do?docket=13-244")</f>
        <v>https://apps.fcc.gov/edocs_public/Query.do?docket=13-244</v>
      </c>
      <c r="E69" s="5" t="s">
        <v>159</v>
      </c>
      <c r="F69" s="10">
        <v>21</v>
      </c>
      <c r="G69" s="10" t="s">
        <v>160</v>
      </c>
      <c r="H69" s="10" t="s">
        <v>161</v>
      </c>
    </row>
    <row r="70" spans="1:8" s="6" customFormat="1" ht="12.75">
      <c r="A70" s="4" t="s">
        <v>19</v>
      </c>
      <c r="B70" s="7" t="s">
        <v>338</v>
      </c>
      <c r="C70" s="17" t="s">
        <v>339</v>
      </c>
      <c r="D70" s="17" t="s">
        <v>340</v>
      </c>
      <c r="E70" s="4" t="s">
        <v>140</v>
      </c>
      <c r="F70" s="10">
        <v>17</v>
      </c>
      <c r="G70" s="12">
        <v>41600</v>
      </c>
      <c r="H70" s="12">
        <v>42962</v>
      </c>
    </row>
    <row r="71" spans="1:8" s="6" customFormat="1" ht="12.75">
      <c r="A71" s="4" t="s">
        <v>19</v>
      </c>
      <c r="B71" s="7" t="s">
        <v>341</v>
      </c>
      <c r="C71" s="16" t="s">
        <v>342</v>
      </c>
      <c r="D71" s="17" t="s">
        <v>343</v>
      </c>
      <c r="E71" s="4" t="s">
        <v>140</v>
      </c>
      <c r="F71" s="10">
        <v>12</v>
      </c>
      <c r="G71" s="12">
        <v>41628</v>
      </c>
      <c r="H71" s="12">
        <v>42962</v>
      </c>
    </row>
    <row r="72" spans="1:8" s="6" customFormat="1" ht="12.75">
      <c r="A72" s="4" t="s">
        <v>19</v>
      </c>
      <c r="B72" s="4" t="s">
        <v>344</v>
      </c>
      <c r="C72" s="16" t="s">
        <v>345</v>
      </c>
      <c r="D72" s="16" t="s">
        <v>346</v>
      </c>
      <c r="E72" s="5" t="s">
        <v>347</v>
      </c>
      <c r="F72" s="10">
        <v>13</v>
      </c>
      <c r="G72" s="12">
        <v>41369</v>
      </c>
      <c r="H72" s="12">
        <v>42523</v>
      </c>
    </row>
    <row r="73" spans="1:8" s="6" customFormat="1" ht="12.75">
      <c r="A73" s="4" t="s">
        <v>19</v>
      </c>
      <c r="B73" s="4" t="s">
        <v>348</v>
      </c>
      <c r="C73" s="17" t="s">
        <v>349</v>
      </c>
      <c r="D73" s="17" t="s">
        <v>350</v>
      </c>
      <c r="E73" s="5" t="s">
        <v>351</v>
      </c>
      <c r="F73" s="10">
        <v>6</v>
      </c>
      <c r="G73" s="12">
        <v>41830</v>
      </c>
      <c r="H73" s="12">
        <v>42641</v>
      </c>
    </row>
    <row r="74" spans="1:8" s="6" customFormat="1" ht="12.75">
      <c r="A74" s="4" t="s">
        <v>19</v>
      </c>
      <c r="B74" s="4" t="s">
        <v>163</v>
      </c>
      <c r="C74" s="16" t="str">
        <f>HYPERLINK("https://www.fcc.gov/ecfs/search/filings?proceedings_name=14-102&amp;sort=date_disseminated,DESC")</f>
        <v>https://www.fcc.gov/ecfs/search/filings?proceedings_name=14-102&amp;sort=date_disseminated,DESC</v>
      </c>
      <c r="D74" s="16" t="str">
        <f>HYPERLINK("https://apps.fcc.gov/edocs_public/Query.do?docket=14-102")</f>
        <v>https://apps.fcc.gov/edocs_public/Query.do?docket=14-102</v>
      </c>
      <c r="E74" s="5" t="s">
        <v>140</v>
      </c>
      <c r="F74" s="10">
        <v>10</v>
      </c>
      <c r="G74" s="10" t="s">
        <v>164</v>
      </c>
      <c r="H74" s="10" t="s">
        <v>165</v>
      </c>
    </row>
    <row r="75" spans="1:8" s="6" customFormat="1" ht="25.5">
      <c r="A75" s="4" t="s">
        <v>19</v>
      </c>
      <c r="B75" s="4" t="s">
        <v>166</v>
      </c>
      <c r="C75" s="16" t="str">
        <f>HYPERLINK("https://www.fcc.gov/ecfs/search/filings?proceedings_name=14-119&amp;sort=date_disseminated,DESC")</f>
        <v>https://www.fcc.gov/ecfs/search/filings?proceedings_name=14-119&amp;sort=date_disseminated,DESC</v>
      </c>
      <c r="D75" s="16" t="str">
        <f>HYPERLINK("https://apps.fcc.gov/edocs_public/Query.do?docket=14-119")</f>
        <v>https://apps.fcc.gov/edocs_public/Query.do?docket=14-119</v>
      </c>
      <c r="E75" s="5" t="s">
        <v>1095</v>
      </c>
      <c r="F75" s="10">
        <v>2</v>
      </c>
      <c r="G75" s="10" t="s">
        <v>167</v>
      </c>
      <c r="H75" s="10" t="s">
        <v>168</v>
      </c>
    </row>
    <row r="76" spans="1:8" s="6" customFormat="1" ht="12.75">
      <c r="A76" s="4" t="s">
        <v>19</v>
      </c>
      <c r="B76" s="4" t="s">
        <v>169</v>
      </c>
      <c r="C76" s="16" t="str">
        <f>HYPERLINK("https://www.fcc.gov/ecfs/search/filings?proceedings_name=14-124&amp;sort=date_disseminated,DESC")</f>
        <v>https://www.fcc.gov/ecfs/search/filings?proceedings_name=14-124&amp;sort=date_disseminated,DESC</v>
      </c>
      <c r="D76" s="16" t="str">
        <f>HYPERLINK("https://apps.fcc.gov/edocs_public/Query.do?docket=14-124")</f>
        <v>https://apps.fcc.gov/edocs_public/Query.do?docket=14-124</v>
      </c>
      <c r="E76" s="5" t="s">
        <v>170</v>
      </c>
      <c r="F76" s="10">
        <v>5</v>
      </c>
      <c r="G76" s="10" t="s">
        <v>171</v>
      </c>
      <c r="H76" s="10" t="s">
        <v>172</v>
      </c>
    </row>
    <row r="77" spans="1:8" s="6" customFormat="1" ht="12.75">
      <c r="A77" s="4" t="s">
        <v>19</v>
      </c>
      <c r="B77" s="4" t="s">
        <v>173</v>
      </c>
      <c r="C77" s="16" t="str">
        <f>HYPERLINK("https://www.fcc.gov/ecfs/search/filings?proceedings_name=14-131&amp;sort=date_disseminated,DESC")</f>
        <v>https://www.fcc.gov/ecfs/search/filings?proceedings_name=14-131&amp;sort=date_disseminated,DESC</v>
      </c>
      <c r="D77" s="16" t="str">
        <f>HYPERLINK("https://apps.fcc.gov/edocs_public/Query.do?docket=14-131")</f>
        <v>https://apps.fcc.gov/edocs_public/Query.do?docket=14-131</v>
      </c>
      <c r="E77" s="5" t="s">
        <v>174</v>
      </c>
      <c r="F77" s="10">
        <v>22</v>
      </c>
      <c r="G77" s="10" t="s">
        <v>175</v>
      </c>
      <c r="H77" s="10" t="s">
        <v>142</v>
      </c>
    </row>
    <row r="78" spans="1:8" s="6" customFormat="1" ht="12.75">
      <c r="A78" s="4" t="s">
        <v>19</v>
      </c>
      <c r="B78" s="4" t="s">
        <v>176</v>
      </c>
      <c r="C78" s="16" t="str">
        <f>HYPERLINK("https://www.fcc.gov/ecfs/search/filings?proceedings_name=14-137&amp;sort=date_disseminated,DESC")</f>
        <v>https://www.fcc.gov/ecfs/search/filings?proceedings_name=14-137&amp;sort=date_disseminated,DESC</v>
      </c>
      <c r="D78" s="16" t="str">
        <f>HYPERLINK("https://apps.fcc.gov/edocs_public/Query.do?docket=14-137")</f>
        <v>https://apps.fcc.gov/edocs_public/Query.do?docket=14-137</v>
      </c>
      <c r="E78" s="5" t="s">
        <v>177</v>
      </c>
      <c r="F78" s="10">
        <v>3</v>
      </c>
      <c r="G78" s="10" t="s">
        <v>178</v>
      </c>
      <c r="H78" s="10" t="s">
        <v>61</v>
      </c>
    </row>
    <row r="79" spans="1:8" s="6" customFormat="1" ht="12.75">
      <c r="A79" s="4" t="s">
        <v>19</v>
      </c>
      <c r="B79" s="4" t="s">
        <v>176</v>
      </c>
      <c r="C79" s="17" t="s">
        <v>352</v>
      </c>
      <c r="D79" s="17" t="s">
        <v>353</v>
      </c>
      <c r="E79" s="5" t="s">
        <v>177</v>
      </c>
      <c r="F79" s="10">
        <v>3</v>
      </c>
      <c r="G79" s="12">
        <v>41879</v>
      </c>
      <c r="H79" s="12">
        <v>42041</v>
      </c>
    </row>
    <row r="80" spans="1:8" s="6" customFormat="1" ht="25.5">
      <c r="A80" s="4" t="s">
        <v>19</v>
      </c>
      <c r="B80" s="4" t="s">
        <v>179</v>
      </c>
      <c r="C80" s="16" t="str">
        <f>HYPERLINK("https://www.fcc.gov/ecfs/search/filings?proceedings_name=14-175&amp;sort=date_disseminated,DESC")</f>
        <v>https://www.fcc.gov/ecfs/search/filings?proceedings_name=14-175&amp;sort=date_disseminated,DESC</v>
      </c>
      <c r="D80" s="16" t="str">
        <f>HYPERLINK("https://apps.fcc.gov/edocs_public/Query.do?docket=14-175")</f>
        <v>https://apps.fcc.gov/edocs_public/Query.do?docket=14-175</v>
      </c>
      <c r="E80" s="5" t="s">
        <v>180</v>
      </c>
      <c r="F80" s="10">
        <v>63</v>
      </c>
      <c r="G80" s="10" t="s">
        <v>181</v>
      </c>
      <c r="H80" s="10" t="s">
        <v>182</v>
      </c>
    </row>
    <row r="81" spans="1:8" s="6" customFormat="1" ht="12.75">
      <c r="A81" s="4" t="s">
        <v>19</v>
      </c>
      <c r="B81" s="4" t="s">
        <v>183</v>
      </c>
      <c r="C81" s="16" t="str">
        <f>HYPERLINK("https://www.fcc.gov/ecfs/search/filings?proceedings_name=14-183&amp;sort=date_disseminated,DESC")</f>
        <v>https://www.fcc.gov/ecfs/search/filings?proceedings_name=14-183&amp;sort=date_disseminated,DESC</v>
      </c>
      <c r="D81" s="16" t="str">
        <f>HYPERLINK("https://apps.fcc.gov/edocs_public/Query.do?docket=14-183")</f>
        <v>https://apps.fcc.gov/edocs_public/Query.do?docket=14-183</v>
      </c>
      <c r="E81" s="5" t="s">
        <v>184</v>
      </c>
      <c r="F81" s="10">
        <v>4</v>
      </c>
      <c r="G81" s="10" t="s">
        <v>185</v>
      </c>
      <c r="H81" s="10" t="s">
        <v>35</v>
      </c>
    </row>
    <row r="82" spans="1:8" s="6" customFormat="1" ht="12.75">
      <c r="A82" s="4" t="s">
        <v>19</v>
      </c>
      <c r="B82" s="4" t="s">
        <v>186</v>
      </c>
      <c r="C82" s="16" t="str">
        <f>HYPERLINK("https://www.fcc.gov/ecfs/search/filings?proceedings_name=14-184&amp;sort=date_disseminated,DESC")</f>
        <v>https://www.fcc.gov/ecfs/search/filings?proceedings_name=14-184&amp;sort=date_disseminated,DESC</v>
      </c>
      <c r="D82" s="16" t="str">
        <f>HYPERLINK("https://apps.fcc.gov/edocs_public/Query.do?docket=14-184")</f>
        <v>https://apps.fcc.gov/edocs_public/Query.do?docket=14-184</v>
      </c>
      <c r="E82" s="5" t="s">
        <v>187</v>
      </c>
      <c r="F82" s="10">
        <v>6</v>
      </c>
      <c r="G82" s="10" t="s">
        <v>185</v>
      </c>
      <c r="H82" s="10" t="s">
        <v>188</v>
      </c>
    </row>
    <row r="83" spans="1:8" s="6" customFormat="1" ht="12.75">
      <c r="A83" s="4" t="s">
        <v>19</v>
      </c>
      <c r="B83" s="4" t="s">
        <v>189</v>
      </c>
      <c r="C83" s="16" t="str">
        <f>HYPERLINK("https://www.fcc.gov/ecfs/search/filings?proceedings_name=14-185&amp;sort=date_disseminated,DESC")</f>
        <v>https://www.fcc.gov/ecfs/search/filings?proceedings_name=14-185&amp;sort=date_disseminated,DESC</v>
      </c>
      <c r="D83" s="16" t="str">
        <f>HYPERLINK("https://apps.fcc.gov/edocs_public/Query.do?docket=14-185")</f>
        <v>https://apps.fcc.gov/edocs_public/Query.do?docket=14-185</v>
      </c>
      <c r="E83" s="5" t="s">
        <v>190</v>
      </c>
      <c r="F83" s="10">
        <v>7</v>
      </c>
      <c r="G83" s="10" t="s">
        <v>185</v>
      </c>
      <c r="H83" s="10" t="s">
        <v>188</v>
      </c>
    </row>
    <row r="84" spans="1:8" s="6" customFormat="1" ht="12.75">
      <c r="A84" s="4" t="s">
        <v>19</v>
      </c>
      <c r="B84" s="4" t="s">
        <v>191</v>
      </c>
      <c r="C84" s="16" t="str">
        <f>HYPERLINK("https://www.fcc.gov/ecfs/search/filings?proceedings_name=14-186&amp;sort=date_disseminated,DESC")</f>
        <v>https://www.fcc.gov/ecfs/search/filings?proceedings_name=14-186&amp;sort=date_disseminated,DESC</v>
      </c>
      <c r="D84" s="16" t="str">
        <f>HYPERLINK("https://apps.fcc.gov/edocs_public/Query.do?docket=14-186")</f>
        <v>https://apps.fcc.gov/edocs_public/Query.do?docket=14-186</v>
      </c>
      <c r="E84" s="5" t="s">
        <v>192</v>
      </c>
      <c r="F84" s="10">
        <v>4</v>
      </c>
      <c r="G84" s="10" t="s">
        <v>185</v>
      </c>
      <c r="H84" s="10" t="s">
        <v>35</v>
      </c>
    </row>
    <row r="85" spans="1:8" s="6" customFormat="1" ht="25.5">
      <c r="A85" s="4" t="s">
        <v>19</v>
      </c>
      <c r="B85" s="4" t="s">
        <v>193</v>
      </c>
      <c r="C85" s="16" t="str">
        <f>HYPERLINK("https://www.fcc.gov/ecfs/search/filings?proceedings_name=14-226&amp;sort=date_disseminated,DESC")</f>
        <v>https://www.fcc.gov/ecfs/search/filings?proceedings_name=14-226&amp;sort=date_disseminated,DESC</v>
      </c>
      <c r="D85" s="16" t="str">
        <f>HYPERLINK("https://apps.fcc.gov/edocs_public/Query.do?docket=14-226")</f>
        <v>https://apps.fcc.gov/edocs_public/Query.do?docket=14-226</v>
      </c>
      <c r="E85" s="5" t="s">
        <v>194</v>
      </c>
      <c r="F85" s="10">
        <v>23</v>
      </c>
      <c r="G85" s="10" t="s">
        <v>195</v>
      </c>
      <c r="H85" s="10" t="s">
        <v>196</v>
      </c>
    </row>
    <row r="86" spans="1:8" s="6" customFormat="1" ht="12.75">
      <c r="A86" s="4" t="s">
        <v>19</v>
      </c>
      <c r="B86" s="4" t="s">
        <v>200</v>
      </c>
      <c r="C86" s="16" t="str">
        <f>HYPERLINK("https://www.fcc.gov/ecfs/search/filings?proceedings_name=14-30&amp;sort=date_disseminated,DESC")</f>
        <v>https://www.fcc.gov/ecfs/search/filings?proceedings_name=14-30&amp;sort=date_disseminated,DESC</v>
      </c>
      <c r="D86" s="16" t="str">
        <f>HYPERLINK("https://apps.fcc.gov/edocs_public/Query.do?docket=14-30")</f>
        <v>https://apps.fcc.gov/edocs_public/Query.do?docket=14-30</v>
      </c>
      <c r="E86" s="5" t="s">
        <v>140</v>
      </c>
      <c r="F86" s="10">
        <v>3</v>
      </c>
      <c r="G86" s="10" t="s">
        <v>201</v>
      </c>
      <c r="H86" s="10" t="s">
        <v>202</v>
      </c>
    </row>
    <row r="87" spans="1:8" s="6" customFormat="1" ht="12.75">
      <c r="A87" s="4" t="s">
        <v>19</v>
      </c>
      <c r="B87" s="4" t="s">
        <v>203</v>
      </c>
      <c r="C87" s="16" t="str">
        <f>HYPERLINK("https://www.fcc.gov/ecfs/search/filings?proceedings_name=14-31&amp;sort=date_disseminated,DESC")</f>
        <v>https://www.fcc.gov/ecfs/search/filings?proceedings_name=14-31&amp;sort=date_disseminated,DESC</v>
      </c>
      <c r="D87" s="16" t="str">
        <f>HYPERLINK("https://apps.fcc.gov/edocs_public/Query.do?docket=14-31")</f>
        <v>https://apps.fcc.gov/edocs_public/Query.do?docket=14-31</v>
      </c>
      <c r="E87" s="5" t="s">
        <v>204</v>
      </c>
      <c r="F87" s="10">
        <v>4</v>
      </c>
      <c r="G87" s="10" t="s">
        <v>201</v>
      </c>
      <c r="H87" s="10" t="s">
        <v>205</v>
      </c>
    </row>
    <row r="88" spans="1:8" s="6" customFormat="1" ht="12.75">
      <c r="A88" s="4" t="s">
        <v>19</v>
      </c>
      <c r="B88" s="4" t="s">
        <v>206</v>
      </c>
      <c r="C88" s="16" t="str">
        <f>HYPERLINK("https://www.fcc.gov/ecfs/search/filings?proceedings_name=14-45&amp;sort=date_disseminated,DESC")</f>
        <v>https://www.fcc.gov/ecfs/search/filings?proceedings_name=14-45&amp;sort=date_disseminated,DESC</v>
      </c>
      <c r="D88" s="16" t="str">
        <f>HYPERLINK("https://apps.fcc.gov/edocs_public/Query.do?docket=14-45")</f>
        <v>https://apps.fcc.gov/edocs_public/Query.do?docket=14-45</v>
      </c>
      <c r="E88" s="5" t="s">
        <v>207</v>
      </c>
      <c r="F88" s="10">
        <v>3</v>
      </c>
      <c r="G88" s="10" t="s">
        <v>208</v>
      </c>
      <c r="H88" s="10" t="s">
        <v>209</v>
      </c>
    </row>
    <row r="89" spans="1:8" s="6" customFormat="1" ht="12.75">
      <c r="A89" s="4" t="s">
        <v>19</v>
      </c>
      <c r="B89" s="4" t="s">
        <v>210</v>
      </c>
      <c r="C89" s="16" t="str">
        <f>HYPERLINK("https://www.fcc.gov/ecfs/search/filings?proceedings_name=14-59&amp;sort=date_disseminated,DESC")</f>
        <v>https://www.fcc.gov/ecfs/search/filings?proceedings_name=14-59&amp;sort=date_disseminated,DESC</v>
      </c>
      <c r="D89" s="16" t="str">
        <f>HYPERLINK("https://apps.fcc.gov/edocs_public/Query.do?docket=14-59")</f>
        <v>https://apps.fcc.gov/edocs_public/Query.do?docket=14-59</v>
      </c>
      <c r="E89" s="5" t="s">
        <v>211</v>
      </c>
      <c r="F89" s="10">
        <v>3</v>
      </c>
      <c r="G89" s="10" t="s">
        <v>212</v>
      </c>
      <c r="H89" s="10" t="s">
        <v>213</v>
      </c>
    </row>
    <row r="90" spans="1:8" s="6" customFormat="1" ht="12.75">
      <c r="A90" s="4" t="s">
        <v>19</v>
      </c>
      <c r="B90" s="4" t="s">
        <v>214</v>
      </c>
      <c r="C90" s="16" t="str">
        <f>HYPERLINK("https://www.fcc.gov/ecfs/search/filings?proceedings_name=14-94&amp;sort=date_disseminated,DESC")</f>
        <v>https://www.fcc.gov/ecfs/search/filings?proceedings_name=14-94&amp;sort=date_disseminated,DESC</v>
      </c>
      <c r="D90" s="16" t="str">
        <f>HYPERLINK("https://apps.fcc.gov/edocs_public/Query.do?docket=14-94")</f>
        <v>https://apps.fcc.gov/edocs_public/Query.do?docket=14-94</v>
      </c>
      <c r="E90" s="5" t="s">
        <v>215</v>
      </c>
      <c r="F90" s="10">
        <v>7</v>
      </c>
      <c r="G90" s="10" t="s">
        <v>216</v>
      </c>
      <c r="H90" s="10" t="s">
        <v>217</v>
      </c>
    </row>
    <row r="91" spans="1:8" s="6" customFormat="1" ht="12.75">
      <c r="A91" s="4" t="s">
        <v>19</v>
      </c>
      <c r="B91" s="4" t="s">
        <v>218</v>
      </c>
      <c r="C91" s="16" t="str">
        <f>HYPERLINK("https://www.fcc.gov/ecfs/search/filings?proceedings_name=15-106&amp;sort=date_disseminated,DESC")</f>
        <v>https://www.fcc.gov/ecfs/search/filings?proceedings_name=15-106&amp;sort=date_disseminated,DESC</v>
      </c>
      <c r="D91" s="16" t="str">
        <f>HYPERLINK("https://apps.fcc.gov/edocs_public/Query.do?docket=15-106")</f>
        <v>https://apps.fcc.gov/edocs_public/Query.do?docket=15-106</v>
      </c>
      <c r="E91" s="5" t="s">
        <v>219</v>
      </c>
      <c r="F91" s="10">
        <v>5</v>
      </c>
      <c r="G91" s="10" t="s">
        <v>220</v>
      </c>
      <c r="H91" s="10" t="s">
        <v>221</v>
      </c>
    </row>
    <row r="92" spans="1:8" s="6" customFormat="1" ht="12.75">
      <c r="A92" s="4" t="s">
        <v>19</v>
      </c>
      <c r="B92" s="4" t="s">
        <v>222</v>
      </c>
      <c r="C92" s="16" t="str">
        <f>HYPERLINK("https://www.fcc.gov/ecfs/search/filings?proceedings_name=15-107&amp;sort=date_disseminated,DESC")</f>
        <v>https://www.fcc.gov/ecfs/search/filings?proceedings_name=15-107&amp;sort=date_disseminated,DESC</v>
      </c>
      <c r="D92" s="16" t="str">
        <f>HYPERLINK("https://apps.fcc.gov/edocs_public/Query.do?docket=15-107")</f>
        <v>https://apps.fcc.gov/edocs_public/Query.do?docket=15-107</v>
      </c>
      <c r="E92" s="5" t="s">
        <v>219</v>
      </c>
      <c r="F92" s="10">
        <v>3</v>
      </c>
      <c r="G92" s="10" t="s">
        <v>220</v>
      </c>
      <c r="H92" s="10" t="s">
        <v>221</v>
      </c>
    </row>
    <row r="93" spans="1:8" s="6" customFormat="1" ht="12.75">
      <c r="A93" s="4" t="s">
        <v>19</v>
      </c>
      <c r="B93" s="4" t="s">
        <v>223</v>
      </c>
      <c r="C93" s="16" t="str">
        <f>HYPERLINK("https://www.fcc.gov/ecfs/search/filings?proceedings_name=15-108&amp;sort=date_disseminated,DESC")</f>
        <v>https://www.fcc.gov/ecfs/search/filings?proceedings_name=15-108&amp;sort=date_disseminated,DESC</v>
      </c>
      <c r="D93" s="16" t="str">
        <f>HYPERLINK("https://apps.fcc.gov/edocs_public/Query.do?docket=15-108")</f>
        <v>https://apps.fcc.gov/edocs_public/Query.do?docket=15-108</v>
      </c>
      <c r="E93" s="5" t="s">
        <v>219</v>
      </c>
      <c r="F93" s="10">
        <v>3</v>
      </c>
      <c r="G93" s="10" t="s">
        <v>220</v>
      </c>
      <c r="H93" s="10" t="s">
        <v>221</v>
      </c>
    </row>
    <row r="94" spans="1:8" s="6" customFormat="1" ht="12.75">
      <c r="A94" s="4" t="s">
        <v>19</v>
      </c>
      <c r="B94" s="4" t="s">
        <v>225</v>
      </c>
      <c r="C94" s="16" t="str">
        <f>HYPERLINK("https://www.fcc.gov/ecfs/search/filings?proceedings_name=15-12&amp;sort=date_disseminated,DESC")</f>
        <v>https://www.fcc.gov/ecfs/search/filings?proceedings_name=15-12&amp;sort=date_disseminated,DESC</v>
      </c>
      <c r="D94" s="16" t="str">
        <f>HYPERLINK("https://apps.fcc.gov/edocs_public/Query.do?docket=15-12")</f>
        <v>https://apps.fcc.gov/edocs_public/Query.do?docket=15-12</v>
      </c>
      <c r="E94" s="5" t="s">
        <v>226</v>
      </c>
      <c r="F94" s="10">
        <v>9</v>
      </c>
      <c r="G94" s="10" t="s">
        <v>12</v>
      </c>
      <c r="H94" s="10" t="s">
        <v>188</v>
      </c>
    </row>
    <row r="95" spans="1:8" s="6" customFormat="1" ht="12.75">
      <c r="A95" s="4" t="s">
        <v>19</v>
      </c>
      <c r="B95" s="4" t="s">
        <v>227</v>
      </c>
      <c r="C95" s="16" t="str">
        <f>HYPERLINK("https://www.fcc.gov/ecfs/search/filings?proceedings_name=15-120&amp;sort=date_disseminated,DESC")</f>
        <v>https://www.fcc.gov/ecfs/search/filings?proceedings_name=15-120&amp;sort=date_disseminated,DESC</v>
      </c>
      <c r="D95" s="16" t="str">
        <f>HYPERLINK("https://apps.fcc.gov/edocs_public/Query.do?docket=15-120")</f>
        <v>https://apps.fcc.gov/edocs_public/Query.do?docket=15-120</v>
      </c>
      <c r="E95" s="5" t="s">
        <v>228</v>
      </c>
      <c r="F95" s="10">
        <v>10</v>
      </c>
      <c r="G95" s="10" t="s">
        <v>229</v>
      </c>
      <c r="H95" s="10" t="s">
        <v>230</v>
      </c>
    </row>
    <row r="96" spans="1:8" s="6" customFormat="1" ht="12.75">
      <c r="A96" s="4" t="s">
        <v>19</v>
      </c>
      <c r="B96" s="4" t="s">
        <v>231</v>
      </c>
      <c r="C96" s="16" t="str">
        <f>HYPERLINK("https://www.fcc.gov/ecfs/search/filings?proceedings_name=15-151&amp;sort=date_disseminated,DESC")</f>
        <v>https://www.fcc.gov/ecfs/search/filings?proceedings_name=15-151&amp;sort=date_disseminated,DESC</v>
      </c>
      <c r="D96" s="16" t="str">
        <f>HYPERLINK("https://apps.fcc.gov/edocs_public/Query.do?docket=15-151")</f>
        <v>https://apps.fcc.gov/edocs_public/Query.do?docket=15-151</v>
      </c>
      <c r="E96" s="5" t="s">
        <v>232</v>
      </c>
      <c r="F96" s="10">
        <v>7</v>
      </c>
      <c r="G96" s="10" t="s">
        <v>233</v>
      </c>
      <c r="H96" s="10" t="s">
        <v>234</v>
      </c>
    </row>
    <row r="97" spans="1:8" s="6" customFormat="1" ht="12.75">
      <c r="A97" s="4" t="s">
        <v>19</v>
      </c>
      <c r="B97" s="4" t="s">
        <v>354</v>
      </c>
      <c r="C97" s="17" t="s">
        <v>355</v>
      </c>
      <c r="D97" s="17" t="s">
        <v>356</v>
      </c>
      <c r="E97" s="5" t="s">
        <v>357</v>
      </c>
      <c r="F97" s="10">
        <v>4</v>
      </c>
      <c r="G97" s="12">
        <v>42179</v>
      </c>
      <c r="H97" s="12">
        <v>42597</v>
      </c>
    </row>
    <row r="98" spans="1:8" s="6" customFormat="1" ht="12.75">
      <c r="A98" s="4" t="s">
        <v>19</v>
      </c>
      <c r="B98" s="4" t="s">
        <v>235</v>
      </c>
      <c r="C98" s="16" t="str">
        <f>HYPERLINK("https://www.fcc.gov/ecfs/search/filings?proceedings_name=15-153&amp;sort=date_disseminated,DESC")</f>
        <v>https://www.fcc.gov/ecfs/search/filings?proceedings_name=15-153&amp;sort=date_disseminated,DESC</v>
      </c>
      <c r="D98" s="16" t="str">
        <f>HYPERLINK("https://apps.fcc.gov/edocs_public/Query.do?docket=15-153")</f>
        <v>https://apps.fcc.gov/edocs_public/Query.do?docket=15-153</v>
      </c>
      <c r="E98" s="5" t="s">
        <v>226</v>
      </c>
      <c r="F98" s="10">
        <v>3</v>
      </c>
      <c r="G98" s="10" t="s">
        <v>233</v>
      </c>
      <c r="H98" s="10" t="s">
        <v>65</v>
      </c>
    </row>
    <row r="99" spans="1:8" s="6" customFormat="1" ht="12.75">
      <c r="A99" s="4" t="s">
        <v>19</v>
      </c>
      <c r="B99" s="4" t="s">
        <v>238</v>
      </c>
      <c r="C99" s="16" t="str">
        <f>HYPERLINK("https://www.fcc.gov/ecfs/search/filings?proceedings_name=15-37&amp;sort=date_disseminated,DESC")</f>
        <v>https://www.fcc.gov/ecfs/search/filings?proceedings_name=15-37&amp;sort=date_disseminated,DESC</v>
      </c>
      <c r="D99" s="16" t="str">
        <f>HYPERLINK("https://apps.fcc.gov/edocs_public/Query.do?docket=15-37")</f>
        <v>https://apps.fcc.gov/edocs_public/Query.do?docket=15-37</v>
      </c>
      <c r="E99" s="5" t="s">
        <v>239</v>
      </c>
      <c r="F99" s="10">
        <v>2</v>
      </c>
      <c r="G99" s="10" t="s">
        <v>240</v>
      </c>
      <c r="H99" s="10" t="s">
        <v>241</v>
      </c>
    </row>
    <row r="100" spans="1:8" s="6" customFormat="1" ht="25.5">
      <c r="A100" s="4" t="s">
        <v>19</v>
      </c>
      <c r="B100" s="4" t="s">
        <v>242</v>
      </c>
      <c r="C100" s="16" t="str">
        <f>HYPERLINK("https://www.fcc.gov/ecfs/search/filings?proceedings_name=15-42&amp;sort=date_disseminated,DESC")</f>
        <v>https://www.fcc.gov/ecfs/search/filings?proceedings_name=15-42&amp;sort=date_disseminated,DESC</v>
      </c>
      <c r="D100" s="16" t="str">
        <f>HYPERLINK("https://apps.fcc.gov/edocs_public/Query.do?docket=15-42")</f>
        <v>https://apps.fcc.gov/edocs_public/Query.do?docket=15-42</v>
      </c>
      <c r="E100" s="5" t="s">
        <v>243</v>
      </c>
      <c r="F100" s="10">
        <v>5</v>
      </c>
      <c r="G100" s="10" t="s">
        <v>80</v>
      </c>
      <c r="H100" s="10" t="s">
        <v>244</v>
      </c>
    </row>
    <row r="101" spans="1:8" s="6" customFormat="1" ht="12.75">
      <c r="A101" s="4" t="s">
        <v>19</v>
      </c>
      <c r="B101" s="4" t="s">
        <v>245</v>
      </c>
      <c r="C101" s="16" t="str">
        <f>HYPERLINK("https://www.fcc.gov/ecfs/search/filings?proceedings_name=15-45&amp;sort=date_disseminated,DESC")</f>
        <v>https://www.fcc.gov/ecfs/search/filings?proceedings_name=15-45&amp;sort=date_disseminated,DESC</v>
      </c>
      <c r="D101" s="16" t="str">
        <f>HYPERLINK("https://apps.fcc.gov/edocs_public/Query.do?docket=15-45")</f>
        <v>https://apps.fcc.gov/edocs_public/Query.do?docket=15-45</v>
      </c>
      <c r="E101" s="5" t="s">
        <v>246</v>
      </c>
      <c r="F101" s="10">
        <v>3</v>
      </c>
      <c r="G101" s="10" t="s">
        <v>247</v>
      </c>
      <c r="H101" s="10" t="s">
        <v>248</v>
      </c>
    </row>
    <row r="102" spans="1:8" s="6" customFormat="1" ht="12.75">
      <c r="A102" s="4" t="s">
        <v>19</v>
      </c>
      <c r="B102" s="4" t="s">
        <v>249</v>
      </c>
      <c r="C102" s="16" t="str">
        <f>HYPERLINK("https://www.fcc.gov/ecfs/search/filings?proceedings_name=15-46&amp;sort=date_disseminated,DESC")</f>
        <v>https://www.fcc.gov/ecfs/search/filings?proceedings_name=15-46&amp;sort=date_disseminated,DESC</v>
      </c>
      <c r="D102" s="16" t="str">
        <f>HYPERLINK("https://apps.fcc.gov/edocs_public/Query.do?docket=15-46")</f>
        <v>https://apps.fcc.gov/edocs_public/Query.do?docket=15-46</v>
      </c>
      <c r="E102" s="5" t="s">
        <v>250</v>
      </c>
      <c r="F102" s="10">
        <v>6</v>
      </c>
      <c r="G102" s="10" t="s">
        <v>247</v>
      </c>
      <c r="H102" s="10" t="s">
        <v>150</v>
      </c>
    </row>
    <row r="103" spans="1:8" s="6" customFormat="1" ht="25.5">
      <c r="A103" s="4" t="s">
        <v>19</v>
      </c>
      <c r="B103" s="4" t="s">
        <v>251</v>
      </c>
      <c r="C103" s="16" t="str">
        <f>HYPERLINK("https://www.fcc.gov/ecfs/search/filings?proceedings_name=15-47&amp;sort=date_disseminated,DESC")</f>
        <v>https://www.fcc.gov/ecfs/search/filings?proceedings_name=15-47&amp;sort=date_disseminated,DESC</v>
      </c>
      <c r="D103" s="16" t="str">
        <f>HYPERLINK("https://apps.fcc.gov/edocs_public/Query.do?docket=15-47")</f>
        <v>https://apps.fcc.gov/edocs_public/Query.do?docket=15-47</v>
      </c>
      <c r="E103" s="5" t="s">
        <v>1096</v>
      </c>
      <c r="F103" s="10">
        <v>6</v>
      </c>
      <c r="G103" s="10" t="s">
        <v>247</v>
      </c>
      <c r="H103" s="10" t="s">
        <v>252</v>
      </c>
    </row>
    <row r="104" spans="1:8" s="6" customFormat="1" ht="38.25">
      <c r="A104" s="4" t="s">
        <v>19</v>
      </c>
      <c r="B104" s="4" t="s">
        <v>253</v>
      </c>
      <c r="C104" s="16" t="str">
        <f>HYPERLINK("https://www.fcc.gov/ecfs/search/filings?proceedings_name=15-52&amp;sort=date_disseminated,DESC")</f>
        <v>https://www.fcc.gov/ecfs/search/filings?proceedings_name=15-52&amp;sort=date_disseminated,DESC</v>
      </c>
      <c r="D104" s="16" t="str">
        <f>HYPERLINK("https://apps.fcc.gov/edocs_public/Query.do?docket=15-52")</f>
        <v>https://apps.fcc.gov/edocs_public/Query.do?docket=15-52</v>
      </c>
      <c r="E104" s="5" t="s">
        <v>1097</v>
      </c>
      <c r="F104" s="10">
        <v>30</v>
      </c>
      <c r="G104" s="10" t="s">
        <v>254</v>
      </c>
      <c r="H104" s="10" t="s">
        <v>255</v>
      </c>
    </row>
    <row r="105" spans="1:8" s="6" customFormat="1" ht="25.5">
      <c r="A105" s="4" t="s">
        <v>19</v>
      </c>
      <c r="B105" s="4" t="s">
        <v>358</v>
      </c>
      <c r="C105" s="17" t="s">
        <v>359</v>
      </c>
      <c r="D105" s="17" t="s">
        <v>360</v>
      </c>
      <c r="E105" s="5" t="s">
        <v>361</v>
      </c>
      <c r="F105" s="10">
        <v>10</v>
      </c>
      <c r="G105" s="12">
        <v>42586</v>
      </c>
      <c r="H105" s="12">
        <v>42691</v>
      </c>
    </row>
    <row r="106" spans="1:8" s="6" customFormat="1" ht="12.75">
      <c r="A106" s="4" t="s">
        <v>19</v>
      </c>
      <c r="B106" s="4" t="s">
        <v>362</v>
      </c>
      <c r="C106" s="16" t="s">
        <v>363</v>
      </c>
      <c r="D106" s="16" t="s">
        <v>364</v>
      </c>
      <c r="E106" s="5" t="s">
        <v>140</v>
      </c>
      <c r="F106" s="10">
        <v>20</v>
      </c>
      <c r="G106" s="12">
        <v>42600</v>
      </c>
      <c r="H106" s="12">
        <v>42726</v>
      </c>
    </row>
    <row r="107" spans="1:8" s="6" customFormat="1" ht="12.75">
      <c r="A107" s="4" t="s">
        <v>19</v>
      </c>
      <c r="B107" s="4" t="s">
        <v>365</v>
      </c>
      <c r="C107" s="17" t="s">
        <v>366</v>
      </c>
      <c r="D107" s="17" t="s">
        <v>367</v>
      </c>
      <c r="E107" s="5" t="s">
        <v>368</v>
      </c>
      <c r="F107" s="10">
        <v>13</v>
      </c>
      <c r="G107" s="12">
        <v>42614</v>
      </c>
      <c r="H107" s="12">
        <v>43137</v>
      </c>
    </row>
    <row r="108" spans="1:8" s="6" customFormat="1" ht="12.75">
      <c r="A108" s="4" t="s">
        <v>19</v>
      </c>
      <c r="B108" s="4" t="s">
        <v>369</v>
      </c>
      <c r="C108" s="17" t="s">
        <v>370</v>
      </c>
      <c r="D108" s="17" t="s">
        <v>371</v>
      </c>
      <c r="E108" s="5" t="s">
        <v>372</v>
      </c>
      <c r="F108" s="10">
        <v>19</v>
      </c>
      <c r="G108" s="12">
        <v>42628</v>
      </c>
      <c r="H108" s="12">
        <v>42752</v>
      </c>
    </row>
    <row r="109" spans="1:8" s="6" customFormat="1" ht="12.75">
      <c r="A109" s="4" t="s">
        <v>19</v>
      </c>
      <c r="B109" s="4" t="s">
        <v>373</v>
      </c>
      <c r="C109" s="17" t="s">
        <v>374</v>
      </c>
      <c r="D109" s="17" t="s">
        <v>375</v>
      </c>
      <c r="E109" s="5" t="s">
        <v>376</v>
      </c>
      <c r="F109" s="10">
        <v>6</v>
      </c>
      <c r="G109" s="12">
        <v>42725</v>
      </c>
      <c r="H109" s="12">
        <v>42829</v>
      </c>
    </row>
    <row r="110" spans="1:8" s="6" customFormat="1" ht="12.75">
      <c r="A110" s="4" t="s">
        <v>19</v>
      </c>
      <c r="B110" s="4" t="s">
        <v>377</v>
      </c>
      <c r="C110" s="17" t="s">
        <v>378</v>
      </c>
      <c r="D110" s="17" t="s">
        <v>379</v>
      </c>
      <c r="E110" s="5" t="s">
        <v>380</v>
      </c>
      <c r="F110" s="10">
        <v>8</v>
      </c>
      <c r="G110" s="12">
        <v>42439</v>
      </c>
      <c r="H110" s="12">
        <v>42597</v>
      </c>
    </row>
    <row r="111" spans="1:8" s="6" customFormat="1" ht="12.75">
      <c r="A111" s="4" t="s">
        <v>19</v>
      </c>
      <c r="B111" s="4" t="s">
        <v>381</v>
      </c>
      <c r="C111" s="16" t="s">
        <v>382</v>
      </c>
      <c r="D111" s="16" t="s">
        <v>383</v>
      </c>
      <c r="E111" s="5" t="s">
        <v>1098</v>
      </c>
      <c r="F111" s="10">
        <v>5</v>
      </c>
      <c r="G111" s="12">
        <v>42844</v>
      </c>
      <c r="H111" s="12">
        <v>42963</v>
      </c>
    </row>
    <row r="112" spans="1:8" s="6" customFormat="1" ht="12.75">
      <c r="A112" s="4" t="s">
        <v>19</v>
      </c>
      <c r="B112" s="4" t="s">
        <v>384</v>
      </c>
      <c r="C112" s="16" t="s">
        <v>385</v>
      </c>
      <c r="D112" s="16" t="s">
        <v>386</v>
      </c>
      <c r="E112" s="5" t="s">
        <v>387</v>
      </c>
      <c r="F112" s="10">
        <v>6</v>
      </c>
      <c r="G112" s="12">
        <v>42852</v>
      </c>
      <c r="H112" s="12">
        <v>42927</v>
      </c>
    </row>
    <row r="113" spans="1:8" s="6" customFormat="1" ht="12.75">
      <c r="A113" s="4" t="s">
        <v>19</v>
      </c>
      <c r="B113" s="4" t="s">
        <v>388</v>
      </c>
      <c r="C113" s="17" t="s">
        <v>389</v>
      </c>
      <c r="D113" s="17" t="s">
        <v>390</v>
      </c>
      <c r="E113" s="5" t="s">
        <v>376</v>
      </c>
      <c r="F113" s="10">
        <v>11</v>
      </c>
      <c r="G113" s="12">
        <v>42894</v>
      </c>
      <c r="H113" s="12">
        <v>43012</v>
      </c>
    </row>
    <row r="114" spans="1:8" s="6" customFormat="1" ht="12.75">
      <c r="A114" s="4" t="s">
        <v>19</v>
      </c>
      <c r="B114" s="4" t="s">
        <v>391</v>
      </c>
      <c r="C114" s="17" t="s">
        <v>392</v>
      </c>
      <c r="D114" s="17" t="s">
        <v>393</v>
      </c>
      <c r="E114" s="5" t="s">
        <v>394</v>
      </c>
      <c r="F114" s="10">
        <v>5</v>
      </c>
      <c r="G114" s="12">
        <v>42739</v>
      </c>
      <c r="H114" s="12">
        <v>42810</v>
      </c>
    </row>
    <row r="115" spans="1:8" s="6" customFormat="1" ht="25.5">
      <c r="A115" s="4" t="s">
        <v>19</v>
      </c>
      <c r="B115" s="4" t="s">
        <v>395</v>
      </c>
      <c r="C115" s="17" t="s">
        <v>396</v>
      </c>
      <c r="D115" s="17" t="s">
        <v>397</v>
      </c>
      <c r="E115" s="5" t="s">
        <v>398</v>
      </c>
      <c r="F115" s="10">
        <v>8</v>
      </c>
      <c r="G115" s="12">
        <v>43020</v>
      </c>
      <c r="H115" s="12">
        <v>43138</v>
      </c>
    </row>
    <row r="116" spans="1:8" s="6" customFormat="1" ht="25.5">
      <c r="A116" s="4" t="s">
        <v>19</v>
      </c>
      <c r="B116" s="4" t="s">
        <v>399</v>
      </c>
      <c r="C116" s="17" t="s">
        <v>400</v>
      </c>
      <c r="D116" s="17" t="s">
        <v>401</v>
      </c>
      <c r="E116" s="5" t="s">
        <v>402</v>
      </c>
      <c r="F116" s="10">
        <v>7</v>
      </c>
      <c r="G116" s="12">
        <v>43020</v>
      </c>
      <c r="H116" s="12">
        <v>43138</v>
      </c>
    </row>
    <row r="117" spans="1:8" s="6" customFormat="1" ht="12.75">
      <c r="A117" s="4" t="s">
        <v>19</v>
      </c>
      <c r="B117" s="4" t="s">
        <v>285</v>
      </c>
      <c r="C117" s="16" t="s">
        <v>286</v>
      </c>
      <c r="D117" s="16" t="s">
        <v>287</v>
      </c>
      <c r="E117" s="5" t="s">
        <v>288</v>
      </c>
      <c r="F117" s="10">
        <v>6</v>
      </c>
      <c r="G117" s="12">
        <v>43055</v>
      </c>
      <c r="H117" s="12">
        <v>43144</v>
      </c>
    </row>
    <row r="118" spans="1:8" s="6" customFormat="1" ht="12.75">
      <c r="A118" s="4" t="s">
        <v>19</v>
      </c>
      <c r="B118" s="4" t="s">
        <v>403</v>
      </c>
      <c r="C118" s="17" t="s">
        <v>404</v>
      </c>
      <c r="D118" s="17" t="s">
        <v>405</v>
      </c>
      <c r="E118" s="5" t="s">
        <v>406</v>
      </c>
      <c r="F118" s="10">
        <v>5</v>
      </c>
      <c r="G118" s="12">
        <v>43089</v>
      </c>
      <c r="H118" s="12">
        <v>43166</v>
      </c>
    </row>
    <row r="119" spans="1:8" s="6" customFormat="1" ht="12.75">
      <c r="A119" s="4" t="s">
        <v>19</v>
      </c>
      <c r="B119" s="4" t="s">
        <v>407</v>
      </c>
      <c r="C119" s="17" t="s">
        <v>408</v>
      </c>
      <c r="D119" s="17" t="s">
        <v>409</v>
      </c>
      <c r="E119" s="5" t="s">
        <v>394</v>
      </c>
      <c r="F119" s="10">
        <v>12</v>
      </c>
      <c r="G119" s="12">
        <v>42795</v>
      </c>
      <c r="H119" s="12">
        <v>42990</v>
      </c>
    </row>
    <row r="120" spans="1:8" s="6" customFormat="1" ht="12.75">
      <c r="A120" s="4" t="s">
        <v>19</v>
      </c>
      <c r="B120" s="4" t="s">
        <v>410</v>
      </c>
      <c r="C120" s="17" t="s">
        <v>411</v>
      </c>
      <c r="D120" s="17" t="s">
        <v>412</v>
      </c>
      <c r="E120" s="5" t="s">
        <v>394</v>
      </c>
      <c r="F120" s="10">
        <v>12</v>
      </c>
      <c r="G120" s="12">
        <v>42838</v>
      </c>
      <c r="H120" s="12">
        <v>42990</v>
      </c>
    </row>
    <row r="121" spans="1:8" s="6" customFormat="1" ht="12.75">
      <c r="A121" s="4" t="s">
        <v>19</v>
      </c>
      <c r="B121" s="4" t="s">
        <v>1159</v>
      </c>
      <c r="C121" s="20" t="s">
        <v>1160</v>
      </c>
      <c r="D121" s="20" t="s">
        <v>1161</v>
      </c>
      <c r="E121" s="5" t="s">
        <v>1162</v>
      </c>
      <c r="F121" s="10">
        <v>3</v>
      </c>
      <c r="G121" s="12">
        <v>43122</v>
      </c>
      <c r="H121" s="12">
        <v>43202</v>
      </c>
    </row>
    <row r="122" spans="1:8" s="6" customFormat="1" ht="12.75">
      <c r="A122" s="4" t="s">
        <v>19</v>
      </c>
      <c r="B122" s="4" t="s">
        <v>20</v>
      </c>
      <c r="C122" s="16" t="str">
        <f>HYPERLINK("https://www.fcc.gov/ecfs/search/filings?proceedings_name=PRM14MB&amp;sort=date_disseminated,DESC")</f>
        <v>https://www.fcc.gov/ecfs/search/filings?proceedings_name=PRM14MB&amp;sort=date_disseminated,DESC</v>
      </c>
      <c r="D122" s="16" t="str">
        <f>HYPERLINK("https://apps.fcc.gov/edocs_public/Query.do?docket=PRM14MB")</f>
        <v>https://apps.fcc.gov/edocs_public/Query.do?docket=PRM14MB</v>
      </c>
      <c r="E122" s="5" t="s">
        <v>21</v>
      </c>
      <c r="F122" s="10">
        <v>15</v>
      </c>
      <c r="G122" s="10" t="s">
        <v>22</v>
      </c>
      <c r="H122" s="10" t="s">
        <v>23</v>
      </c>
    </row>
    <row r="123" spans="1:8" s="6" customFormat="1" ht="12.75">
      <c r="A123" s="4" t="s">
        <v>19</v>
      </c>
      <c r="B123" s="4" t="s">
        <v>262</v>
      </c>
      <c r="C123" s="16" t="str">
        <f>HYPERLINK("https://www.fcc.gov/ecfs/search/filings?proceedings_name=RM-11626&amp;sort=date_disseminated,DESC")</f>
        <v>https://www.fcc.gov/ecfs/search/filings?proceedings_name=RM-11626&amp;sort=date_disseminated,DESC</v>
      </c>
      <c r="D123" s="16" t="str">
        <f>HYPERLINK("https://apps.fcc.gov/edocs_public/Query.do?docket=RM-11626")</f>
        <v>https://apps.fcc.gov/edocs_public/Query.do?docket=RM-11626</v>
      </c>
      <c r="E123" s="5" t="s">
        <v>263</v>
      </c>
      <c r="F123" s="10">
        <v>61</v>
      </c>
      <c r="G123" s="10" t="s">
        <v>264</v>
      </c>
      <c r="H123" s="10" t="s">
        <v>265</v>
      </c>
    </row>
    <row r="124" spans="1:8" s="6" customFormat="1" ht="25.5">
      <c r="A124" s="4" t="s">
        <v>19</v>
      </c>
      <c r="B124" s="4" t="s">
        <v>268</v>
      </c>
      <c r="C124" s="16" t="str">
        <f>HYPERLINK("https://www.fcc.gov/ecfs/search/filings?proceedings_name=RM-11691&amp;sort=date_disseminated,DESC")</f>
        <v>https://www.fcc.gov/ecfs/search/filings?proceedings_name=RM-11691&amp;sort=date_disseminated,DESC</v>
      </c>
      <c r="D124" s="16" t="str">
        <f>HYPERLINK("https://apps.fcc.gov/edocs_public/Query.do?docket=RM-11691")</f>
        <v>https://apps.fcc.gov/edocs_public/Query.do?docket=RM-11691</v>
      </c>
      <c r="E124" s="5" t="s">
        <v>269</v>
      </c>
      <c r="F124" s="10">
        <v>7</v>
      </c>
      <c r="G124" s="10" t="s">
        <v>270</v>
      </c>
      <c r="H124" s="10" t="s">
        <v>271</v>
      </c>
    </row>
    <row r="125" spans="1:8" s="6" customFormat="1" ht="12.75">
      <c r="A125" s="4" t="s">
        <v>19</v>
      </c>
      <c r="B125" s="4" t="s">
        <v>272</v>
      </c>
      <c r="C125" s="16" t="str">
        <f>HYPERLINK("https://www.fcc.gov/ecfs/search/filings?proceedings_name=RM-11720&amp;sort=date_disseminated,DESC")</f>
        <v>https://www.fcc.gov/ecfs/search/filings?proceedings_name=RM-11720&amp;sort=date_disseminated,DESC</v>
      </c>
      <c r="D125" s="16" t="str">
        <f>HYPERLINK("https://apps.fcc.gov/edocs_public/Query.do?docket=RM-11720")</f>
        <v>https://apps.fcc.gov/edocs_public/Query.do?docket=RM-11720</v>
      </c>
      <c r="E125" s="5" t="s">
        <v>273</v>
      </c>
      <c r="F125" s="10">
        <v>9</v>
      </c>
      <c r="G125" s="10" t="s">
        <v>274</v>
      </c>
      <c r="H125" s="10" t="s">
        <v>275</v>
      </c>
    </row>
    <row r="126" spans="1:8" s="6" customFormat="1" ht="12.75">
      <c r="A126" s="4" t="s">
        <v>19</v>
      </c>
      <c r="B126" s="4" t="s">
        <v>280</v>
      </c>
      <c r="C126" s="16" t="str">
        <f>HYPERLINK("https://www.fcc.gov/ecfs/search/filings?proceedings_name=RM-11756&amp;sort=date_disseminated,DESC")</f>
        <v>https://www.fcc.gov/ecfs/search/filings?proceedings_name=RM-11756&amp;sort=date_disseminated,DESC</v>
      </c>
      <c r="D126" s="16" t="str">
        <f>HYPERLINK("https://apps.fcc.gov/edocs_public/Query.do?docket=RM-11756")</f>
        <v>https://apps.fcc.gov/edocs_public/Query.do?docket=RM-11756</v>
      </c>
      <c r="E126" s="5" t="s">
        <v>281</v>
      </c>
      <c r="F126" s="10">
        <v>1</v>
      </c>
      <c r="G126" s="10" t="s">
        <v>282</v>
      </c>
      <c r="H126" s="10" t="s">
        <v>283</v>
      </c>
    </row>
    <row r="127" spans="1:8" s="6" customFormat="1" ht="38.25">
      <c r="A127" s="4" t="s">
        <v>1156</v>
      </c>
      <c r="B127" s="4" t="s">
        <v>413</v>
      </c>
      <c r="C127" s="16" t="str">
        <f>HYPERLINK("https://www.fcc.gov/ecfs/search/filings?proceedings_name=12-132&amp;sort=date_disseminated,DESC")</f>
        <v>https://www.fcc.gov/ecfs/search/filings?proceedings_name=12-132&amp;sort=date_disseminated,DESC</v>
      </c>
      <c r="D127" s="16" t="str">
        <f>HYPERLINK("https://apps.fcc.gov/edocs_public/Query.do?docket=12-132")</f>
        <v>https://apps.fcc.gov/edocs_public/Query.do?docket=12-132</v>
      </c>
      <c r="E127" s="5" t="s">
        <v>1117</v>
      </c>
      <c r="F127" s="10">
        <v>0</v>
      </c>
      <c r="G127" s="10" t="s">
        <v>414</v>
      </c>
      <c r="H127" s="10" t="s">
        <v>14</v>
      </c>
    </row>
    <row r="128" spans="1:8" s="6" customFormat="1" ht="25.5">
      <c r="A128" s="4" t="s">
        <v>30</v>
      </c>
      <c r="B128" s="4" t="s">
        <v>416</v>
      </c>
      <c r="C128" s="16" t="str">
        <f>HYPERLINK("https://www.fcc.gov/ecfs/search/filings?proceedings_name=10-123&amp;sort=date_disseminated,DESC")</f>
        <v>https://www.fcc.gov/ecfs/search/filings?proceedings_name=10-123&amp;sort=date_disseminated,DESC</v>
      </c>
      <c r="D128" s="16" t="str">
        <f>HYPERLINK("https://apps.fcc.gov/edocs_public/Query.do?docket=10-123")</f>
        <v>https://apps.fcc.gov/edocs_public/Query.do?docket=10-123</v>
      </c>
      <c r="E128" s="5" t="s">
        <v>1118</v>
      </c>
      <c r="F128" s="10">
        <v>230</v>
      </c>
      <c r="G128" s="10" t="s">
        <v>417</v>
      </c>
      <c r="H128" s="10" t="s">
        <v>418</v>
      </c>
    </row>
    <row r="129" spans="1:8" s="6" customFormat="1" ht="51">
      <c r="A129" s="4" t="s">
        <v>30</v>
      </c>
      <c r="B129" s="4" t="s">
        <v>419</v>
      </c>
      <c r="C129" s="16" t="str">
        <f>HYPERLINK("https://www.fcc.gov/ecfs/search/filings?proceedings_name=10-152&amp;sort=date_disseminated,DESC")</f>
        <v>https://www.fcc.gov/ecfs/search/filings?proceedings_name=10-152&amp;sort=date_disseminated,DESC</v>
      </c>
      <c r="D129" s="16" t="str">
        <f>HYPERLINK("https://apps.fcc.gov/edocs_public/Query.do?docket=10-152")</f>
        <v>https://apps.fcc.gov/edocs_public/Query.do?docket=10-152</v>
      </c>
      <c r="E129" s="5" t="s">
        <v>1119</v>
      </c>
      <c r="F129" s="10">
        <v>44</v>
      </c>
      <c r="G129" s="10" t="s">
        <v>420</v>
      </c>
      <c r="H129" s="10" t="s">
        <v>421</v>
      </c>
    </row>
    <row r="130" spans="1:8" s="6" customFormat="1" ht="12.75">
      <c r="A130" s="4" t="s">
        <v>30</v>
      </c>
      <c r="B130" s="4" t="s">
        <v>424</v>
      </c>
      <c r="C130" s="16" t="str">
        <f>HYPERLINK("https://www.fcc.gov/ecfs/search/filings?proceedings_name=14-99&amp;sort=date_disseminated,DESC")</f>
        <v>https://www.fcc.gov/ecfs/search/filings?proceedings_name=14-99&amp;sort=date_disseminated,DESC</v>
      </c>
      <c r="D130" s="16" t="str">
        <f>HYPERLINK("https://apps.fcc.gov/edocs_public/Query.do?docket=14-99")</f>
        <v>https://apps.fcc.gov/edocs_public/Query.do?docket=14-99</v>
      </c>
      <c r="E130" s="5" t="s">
        <v>425</v>
      </c>
      <c r="F130" s="10">
        <v>18</v>
      </c>
      <c r="G130" s="10" t="s">
        <v>426</v>
      </c>
      <c r="H130" s="10" t="s">
        <v>427</v>
      </c>
    </row>
    <row r="131" spans="1:8" s="6" customFormat="1" ht="25.5">
      <c r="A131" s="4" t="s">
        <v>429</v>
      </c>
      <c r="B131" s="4" t="s">
        <v>430</v>
      </c>
      <c r="C131" s="16" t="str">
        <f>HYPERLINK("https://www.fcc.gov/ecfs/search/filings?proceedings_name=09-65&amp;sort=date_disseminated,DESC")</f>
        <v>https://www.fcc.gov/ecfs/search/filings?proceedings_name=09-65&amp;sort=date_disseminated,DESC</v>
      </c>
      <c r="D131" s="16" t="str">
        <f>HYPERLINK("https://apps.fcc.gov/edocs_public/Query.do?docket=09-65")</f>
        <v>https://apps.fcc.gov/edocs_public/Query.do?docket=09-65</v>
      </c>
      <c r="E131" s="5" t="s">
        <v>1120</v>
      </c>
      <c r="F131" s="10">
        <v>24</v>
      </c>
      <c r="G131" s="10" t="s">
        <v>431</v>
      </c>
      <c r="H131" s="10" t="s">
        <v>432</v>
      </c>
    </row>
    <row r="132" spans="1:8" s="6" customFormat="1" ht="25.5">
      <c r="A132" s="4" t="s">
        <v>429</v>
      </c>
      <c r="B132" s="4" t="s">
        <v>436</v>
      </c>
      <c r="C132" s="16" t="str">
        <f>HYPERLINK("https://www.fcc.gov/ecfs/search/filings?proceedings_name=11-76&amp;sort=date_disseminated,DESC")</f>
        <v>https://www.fcc.gov/ecfs/search/filings?proceedings_name=11-76&amp;sort=date_disseminated,DESC</v>
      </c>
      <c r="D132" s="16" t="str">
        <f>HYPERLINK("https://apps.fcc.gov/edocs_public/Query.do?docket=11-76")</f>
        <v>https://apps.fcc.gov/edocs_public/Query.do?docket=11-76</v>
      </c>
      <c r="E132" s="5" t="s">
        <v>1121</v>
      </c>
      <c r="F132" s="10">
        <v>12</v>
      </c>
      <c r="G132" s="10" t="s">
        <v>437</v>
      </c>
      <c r="H132" s="10" t="s">
        <v>435</v>
      </c>
    </row>
    <row r="133" spans="1:8" s="6" customFormat="1" ht="25.5">
      <c r="A133" s="4" t="s">
        <v>429</v>
      </c>
      <c r="B133" s="4" t="s">
        <v>433</v>
      </c>
      <c r="C133" s="16" t="str">
        <f>HYPERLINK("https://www.fcc.gov/ecfs/search/filings?proceedings_name=10-87&amp;sort=date_disseminated,DESC")</f>
        <v>https://www.fcc.gov/ecfs/search/filings?proceedings_name=10-87&amp;sort=date_disseminated,DESC</v>
      </c>
      <c r="D133" s="16" t="str">
        <f>HYPERLINK("https://apps.fcc.gov/edocs_public/Query.do?docket=10-87")</f>
        <v>https://apps.fcc.gov/edocs_public/Query.do?docket=10-87</v>
      </c>
      <c r="E133" s="5" t="s">
        <v>1122</v>
      </c>
      <c r="F133" s="10">
        <v>19</v>
      </c>
      <c r="G133" s="10" t="s">
        <v>434</v>
      </c>
      <c r="H133" s="10" t="s">
        <v>435</v>
      </c>
    </row>
    <row r="134" spans="1:8" s="6" customFormat="1" ht="25.5">
      <c r="A134" s="4" t="s">
        <v>429</v>
      </c>
      <c r="B134" s="4" t="s">
        <v>438</v>
      </c>
      <c r="C134" s="16" t="str">
        <f>HYPERLINK("https://www.fcc.gov/ecfs/search/filings?proceedings_name=12-116&amp;sort=date_disseminated,DESC")</f>
        <v>https://www.fcc.gov/ecfs/search/filings?proceedings_name=12-116&amp;sort=date_disseminated,DESC</v>
      </c>
      <c r="D134" s="16" t="str">
        <f>HYPERLINK("https://apps.fcc.gov/edocs_public/Query.do?docket=12-116")</f>
        <v>https://apps.fcc.gov/edocs_public/Query.do?docket=12-116</v>
      </c>
      <c r="E134" s="5" t="s">
        <v>439</v>
      </c>
      <c r="F134" s="10">
        <v>8</v>
      </c>
      <c r="G134" s="10" t="s">
        <v>440</v>
      </c>
      <c r="H134" s="10" t="s">
        <v>435</v>
      </c>
    </row>
    <row r="135" spans="1:8" s="6" customFormat="1" ht="12.75">
      <c r="A135" s="4" t="s">
        <v>429</v>
      </c>
      <c r="B135" s="4" t="s">
        <v>441</v>
      </c>
      <c r="C135" s="16" t="str">
        <f>HYPERLINK("https://www.fcc.gov/ecfs/search/filings?proceedings_name=13-140&amp;sort=date_disseminated,DESC")</f>
        <v>https://www.fcc.gov/ecfs/search/filings?proceedings_name=13-140&amp;sort=date_disseminated,DESC</v>
      </c>
      <c r="D135" s="16" t="str">
        <f>HYPERLINK("https://apps.fcc.gov/edocs_public/Query.do?docket=13-140")</f>
        <v>https://apps.fcc.gov/edocs_public/Query.do?docket=13-140</v>
      </c>
      <c r="E135" s="5" t="s">
        <v>1123</v>
      </c>
      <c r="F135" s="10">
        <v>136</v>
      </c>
      <c r="G135" s="10" t="s">
        <v>442</v>
      </c>
      <c r="H135" s="10" t="s">
        <v>443</v>
      </c>
    </row>
    <row r="136" spans="1:8" s="6" customFormat="1" ht="25.5">
      <c r="A136" s="4" t="s">
        <v>429</v>
      </c>
      <c r="B136" s="4" t="s">
        <v>444</v>
      </c>
      <c r="C136" s="16" t="str">
        <f>HYPERLINK("https://www.fcc.gov/ecfs/search/filings?proceedings_name=13-83&amp;sort=date_disseminated,DESC")</f>
        <v>https://www.fcc.gov/ecfs/search/filings?proceedings_name=13-83&amp;sort=date_disseminated,DESC</v>
      </c>
      <c r="D136" s="16" t="str">
        <f>HYPERLINK("https://apps.fcc.gov/edocs_public/Query.do?docket=13-83")</f>
        <v>https://apps.fcc.gov/edocs_public/Query.do?docket=13-83</v>
      </c>
      <c r="E136" s="5" t="s">
        <v>445</v>
      </c>
      <c r="F136" s="10">
        <v>3</v>
      </c>
      <c r="G136" s="10" t="s">
        <v>446</v>
      </c>
      <c r="H136" s="10" t="s">
        <v>447</v>
      </c>
    </row>
    <row r="137" spans="1:8" s="6" customFormat="1" ht="12.75">
      <c r="A137" s="4" t="s">
        <v>429</v>
      </c>
      <c r="B137" s="4" t="s">
        <v>448</v>
      </c>
      <c r="C137" s="16" t="str">
        <f>HYPERLINK("https://www.fcc.gov/ecfs/search/filings?proceedings_name=14-151&amp;sort=date_disseminated,DESC")</f>
        <v>https://www.fcc.gov/ecfs/search/filings?proceedings_name=14-151&amp;sort=date_disseminated,DESC</v>
      </c>
      <c r="D137" s="16" t="str">
        <f>HYPERLINK("https://apps.fcc.gov/edocs_public/Query.do?docket=14-151")</f>
        <v>https://apps.fcc.gov/edocs_public/Query.do?docket=14-151</v>
      </c>
      <c r="E137" s="5" t="s">
        <v>449</v>
      </c>
      <c r="F137" s="10">
        <v>1</v>
      </c>
      <c r="G137" s="10" t="s">
        <v>450</v>
      </c>
      <c r="H137" s="10" t="s">
        <v>451</v>
      </c>
    </row>
    <row r="138" spans="1:8" s="6" customFormat="1" ht="12.75">
      <c r="A138" s="4" t="s">
        <v>429</v>
      </c>
      <c r="B138" s="4" t="s">
        <v>452</v>
      </c>
      <c r="C138" s="16" t="str">
        <f>HYPERLINK("https://www.fcc.gov/ecfs/search/filings?proceedings_name=14-92&amp;sort=date_disseminated,DESC")</f>
        <v>https://www.fcc.gov/ecfs/search/filings?proceedings_name=14-92&amp;sort=date_disseminated,DESC</v>
      </c>
      <c r="D138" s="16" t="str">
        <f>HYPERLINK("https://apps.fcc.gov/edocs_public/Query.do?docket=14-92")</f>
        <v>https://apps.fcc.gov/edocs_public/Query.do?docket=14-92</v>
      </c>
      <c r="E138" s="5" t="s">
        <v>453</v>
      </c>
      <c r="F138" s="10">
        <v>110</v>
      </c>
      <c r="G138" s="10" t="s">
        <v>454</v>
      </c>
      <c r="H138" s="10" t="s">
        <v>202</v>
      </c>
    </row>
    <row r="139" spans="1:8" s="6" customFormat="1" ht="12.75">
      <c r="A139" s="4" t="s">
        <v>429</v>
      </c>
      <c r="B139" s="4" t="s">
        <v>455</v>
      </c>
      <c r="C139" s="16" t="str">
        <f>HYPERLINK("https://www.fcc.gov/ecfs/search/filings?proceedings_name=15-121&amp;sort=date_disseminated,DESC")</f>
        <v>https://www.fcc.gov/ecfs/search/filings?proceedings_name=15-121&amp;sort=date_disseminated,DESC</v>
      </c>
      <c r="D139" s="16" t="str">
        <f>HYPERLINK("https://apps.fcc.gov/edocs_public/Query.do?docket=15-121")</f>
        <v>https://apps.fcc.gov/edocs_public/Query.do?docket=15-121</v>
      </c>
      <c r="E139" s="5" t="s">
        <v>456</v>
      </c>
      <c r="F139" s="10">
        <v>69</v>
      </c>
      <c r="G139" s="10" t="s">
        <v>229</v>
      </c>
      <c r="H139" s="10" t="s">
        <v>457</v>
      </c>
    </row>
    <row r="140" spans="1:8" s="6" customFormat="1" ht="12.75">
      <c r="A140" s="4" t="s">
        <v>31</v>
      </c>
      <c r="B140" s="4" t="s">
        <v>466</v>
      </c>
      <c r="C140" s="16" t="str">
        <f>HYPERLINK("https://www.fcc.gov/ecfs/search/filings?proceedings_name=RM-11514&amp;sort=date_disseminated,DESC")</f>
        <v>https://www.fcc.gov/ecfs/search/filings?proceedings_name=RM-11514&amp;sort=date_disseminated,DESC</v>
      </c>
      <c r="D140" s="16" t="str">
        <f>HYPERLINK("https://apps.fcc.gov/edocs_public/Query.do?docket=RM-11514")</f>
        <v>https://apps.fcc.gov/edocs_public/Query.do?docket=RM-11514</v>
      </c>
      <c r="E140" s="5" t="s">
        <v>467</v>
      </c>
      <c r="F140" s="10">
        <v>33</v>
      </c>
      <c r="G140" s="10" t="s">
        <v>468</v>
      </c>
      <c r="H140" s="10" t="s">
        <v>469</v>
      </c>
    </row>
    <row r="141" spans="1:8" s="6" customFormat="1" ht="25.5">
      <c r="A141" s="4" t="s">
        <v>31</v>
      </c>
      <c r="B141" s="4" t="s">
        <v>470</v>
      </c>
      <c r="C141" s="16" t="str">
        <f>HYPERLINK("https://www.fcc.gov/ecfs/search/filings?proceedings_name=RM-11635&amp;sort=date_disseminated,DESC")</f>
        <v>https://www.fcc.gov/ecfs/search/filings?proceedings_name=RM-11635&amp;sort=date_disseminated,DESC</v>
      </c>
      <c r="D141" s="16" t="str">
        <f>HYPERLINK("https://apps.fcc.gov/edocs_public/Query.do?docket=RM-11635")</f>
        <v>https://apps.fcc.gov/edocs_public/Query.do?docket=RM-11635</v>
      </c>
      <c r="E141" s="5" t="s">
        <v>471</v>
      </c>
      <c r="F141" s="10">
        <v>42</v>
      </c>
      <c r="G141" s="10" t="s">
        <v>472</v>
      </c>
      <c r="H141" s="10" t="s">
        <v>463</v>
      </c>
    </row>
    <row r="142" spans="1:8" s="6" customFormat="1" ht="25.5">
      <c r="A142" s="4" t="s">
        <v>33</v>
      </c>
      <c r="B142" s="4" t="s">
        <v>976</v>
      </c>
      <c r="C142" s="16" t="str">
        <f>HYPERLINK("https://www.fcc.gov/ecfs/search/filings?proceedings_name=11-65&amp;sort=date_disseminated,DESC")</f>
        <v>https://www.fcc.gov/ecfs/search/filings?proceedings_name=11-65&amp;sort=date_disseminated,DESC</v>
      </c>
      <c r="D142" s="16" t="str">
        <f>HYPERLINK("https://apps.fcc.gov/edocs_public/Query.do?docket=11-65")</f>
        <v>https://apps.fcc.gov/edocs_public/Query.do?docket=11-65</v>
      </c>
      <c r="E142" s="5" t="s">
        <v>1124</v>
      </c>
      <c r="F142" s="10">
        <v>4557</v>
      </c>
      <c r="G142" s="10" t="s">
        <v>977</v>
      </c>
      <c r="H142" s="10" t="s">
        <v>481</v>
      </c>
    </row>
    <row r="143" spans="1:8" s="6" customFormat="1" ht="12.75">
      <c r="A143" s="4" t="s">
        <v>33</v>
      </c>
      <c r="B143" s="4" t="s">
        <v>963</v>
      </c>
      <c r="C143" s="16" t="str">
        <f>HYPERLINK("https://www.fcc.gov/ecfs/search/filings?proceedings_name=03-67&amp;sort=date_disseminated,DESC")</f>
        <v>https://www.fcc.gov/ecfs/search/filings?proceedings_name=03-67&amp;sort=date_disseminated,DESC</v>
      </c>
      <c r="D143" s="16" t="str">
        <f>HYPERLINK("https://apps.fcc.gov/edocs_public/Query.do?docket=03-67")</f>
        <v>https://apps.fcc.gov/edocs_public/Query.do?docket=03-67</v>
      </c>
      <c r="E143" s="5" t="s">
        <v>964</v>
      </c>
      <c r="F143" s="10">
        <v>146</v>
      </c>
      <c r="G143" s="10" t="s">
        <v>965</v>
      </c>
      <c r="H143" s="10" t="s">
        <v>794</v>
      </c>
    </row>
    <row r="144" spans="1:8" s="6" customFormat="1" ht="38.25">
      <c r="A144" s="4" t="s">
        <v>33</v>
      </c>
      <c r="B144" s="4" t="s">
        <v>972</v>
      </c>
      <c r="C144" s="16" t="str">
        <f>HYPERLINK("https://www.fcc.gov/ecfs/search/filings?proceedings_name=08-95&amp;sort=date_disseminated,DESC")</f>
        <v>https://www.fcc.gov/ecfs/search/filings?proceedings_name=08-95&amp;sort=date_disseminated,DESC</v>
      </c>
      <c r="D144" s="16" t="str">
        <f>HYPERLINK("https://apps.fcc.gov/edocs_public/Query.do?docket=08-95")</f>
        <v>https://apps.fcc.gov/edocs_public/Query.do?docket=08-95</v>
      </c>
      <c r="E144" s="5" t="s">
        <v>1125</v>
      </c>
      <c r="F144" s="10">
        <v>332</v>
      </c>
      <c r="G144" s="10" t="s">
        <v>973</v>
      </c>
      <c r="H144" s="10" t="s">
        <v>971</v>
      </c>
    </row>
    <row r="145" spans="1:8" s="6" customFormat="1" ht="38.25">
      <c r="A145" s="4" t="s">
        <v>33</v>
      </c>
      <c r="B145" s="4" t="s">
        <v>966</v>
      </c>
      <c r="C145" s="16" t="str">
        <f>HYPERLINK("https://www.fcc.gov/ecfs/search/filings?proceedings_name=05-194&amp;sort=date_disseminated,DESC")</f>
        <v>https://www.fcc.gov/ecfs/search/filings?proceedings_name=05-194&amp;sort=date_disseminated,DESC</v>
      </c>
      <c r="D145" s="16" t="str">
        <f>HYPERLINK("https://apps.fcc.gov/edocs_public/Query.do?docket=05-194")</f>
        <v>https://apps.fcc.gov/edocs_public/Query.do?docket=05-194</v>
      </c>
      <c r="E145" s="5" t="s">
        <v>1126</v>
      </c>
      <c r="F145" s="10">
        <v>845</v>
      </c>
      <c r="G145" s="10" t="s">
        <v>967</v>
      </c>
      <c r="H145" s="10" t="s">
        <v>968</v>
      </c>
    </row>
    <row r="146" spans="1:8" s="6" customFormat="1" ht="25.5">
      <c r="A146" s="4" t="s">
        <v>33</v>
      </c>
      <c r="B146" s="4" t="s">
        <v>969</v>
      </c>
      <c r="C146" s="16" t="str">
        <f>HYPERLINK("https://www.fcc.gov/ecfs/search/filings?proceedings_name=07-208&amp;sort=date_disseminated,DESC")</f>
        <v>https://www.fcc.gov/ecfs/search/filings?proceedings_name=07-208&amp;sort=date_disseminated,DESC</v>
      </c>
      <c r="D146" s="16" t="str">
        <f>HYPERLINK("https://apps.fcc.gov/edocs_public/Query.do?docket=07-208")</f>
        <v>https://apps.fcc.gov/edocs_public/Query.do?docket=07-208</v>
      </c>
      <c r="E146" s="5" t="s">
        <v>1099</v>
      </c>
      <c r="F146" s="10">
        <v>100</v>
      </c>
      <c r="G146" s="10" t="s">
        <v>970</v>
      </c>
      <c r="H146" s="10" t="s">
        <v>971</v>
      </c>
    </row>
    <row r="147" spans="1:8" s="6" customFormat="1" ht="38.25">
      <c r="A147" s="4" t="s">
        <v>33</v>
      </c>
      <c r="B147" s="4" t="s">
        <v>974</v>
      </c>
      <c r="C147" s="16" t="str">
        <f>HYPERLINK("https://www.fcc.gov/ecfs/search/filings?proceedings_name=09-104&amp;sort=date_disseminated,DESC")</f>
        <v>https://www.fcc.gov/ecfs/search/filings?proceedings_name=09-104&amp;sort=date_disseminated,DESC</v>
      </c>
      <c r="D147" s="16" t="str">
        <f>HYPERLINK("https://apps.fcc.gov/edocs_public/Query.do?docket=09-104")</f>
        <v>https://apps.fcc.gov/edocs_public/Query.do?docket=09-104</v>
      </c>
      <c r="E147" s="5" t="s">
        <v>1127</v>
      </c>
      <c r="F147" s="10">
        <v>224</v>
      </c>
      <c r="G147" s="10" t="s">
        <v>975</v>
      </c>
      <c r="H147" s="10" t="s">
        <v>870</v>
      </c>
    </row>
    <row r="148" spans="1:8" s="6" customFormat="1" ht="25.5">
      <c r="A148" s="4" t="s">
        <v>33</v>
      </c>
      <c r="B148" s="4" t="s">
        <v>978</v>
      </c>
      <c r="C148" s="16" t="str">
        <f>HYPERLINK("https://www.fcc.gov/ecfs/search/filings?proceedings_name=12-175&amp;sort=date_disseminated,DESC")</f>
        <v>https://www.fcc.gov/ecfs/search/filings?proceedings_name=12-175&amp;sort=date_disseminated,DESC</v>
      </c>
      <c r="D148" s="16" t="str">
        <f>HYPERLINK("https://apps.fcc.gov/edocs_public/Query.do?docket=12-175")</f>
        <v>https://apps.fcc.gov/edocs_public/Query.do?docket=12-175</v>
      </c>
      <c r="E148" s="5" t="s">
        <v>979</v>
      </c>
      <c r="F148" s="10">
        <v>125</v>
      </c>
      <c r="G148" s="10" t="s">
        <v>980</v>
      </c>
      <c r="H148" s="10" t="s">
        <v>415</v>
      </c>
    </row>
    <row r="149" spans="1:8" s="6" customFormat="1" ht="38.25">
      <c r="A149" s="4" t="s">
        <v>33</v>
      </c>
      <c r="B149" s="4" t="s">
        <v>981</v>
      </c>
      <c r="C149" s="16" t="str">
        <f>HYPERLINK("https://www.fcc.gov/ecfs/search/filings?proceedings_name=12-187&amp;sort=date_disseminated,DESC")</f>
        <v>https://www.fcc.gov/ecfs/search/filings?proceedings_name=12-187&amp;sort=date_disseminated,DESC</v>
      </c>
      <c r="D149" s="16" t="str">
        <f>HYPERLINK("https://apps.fcc.gov/edocs_public/Query.do?docket=12-187")</f>
        <v>https://apps.fcc.gov/edocs_public/Query.do?docket=12-187</v>
      </c>
      <c r="E149" s="5" t="s">
        <v>1128</v>
      </c>
      <c r="F149" s="10">
        <v>113</v>
      </c>
      <c r="G149" s="10" t="s">
        <v>982</v>
      </c>
      <c r="H149" s="10" t="s">
        <v>983</v>
      </c>
    </row>
    <row r="150" spans="1:8" s="6" customFormat="1" ht="12.75">
      <c r="A150" s="4" t="s">
        <v>33</v>
      </c>
      <c r="B150" s="19" t="s">
        <v>1158</v>
      </c>
      <c r="C150" s="17" t="str">
        <f>HYPERLINK("https://www.fcc.gov/ecfs/search/filings?proceedings_name=12-69&amp;sort=date_disseminated,DESC")</f>
        <v>https://www.fcc.gov/ecfs/search/filings?proceedings_name=12-69&amp;sort=date_disseminated,DESC</v>
      </c>
      <c r="D150" s="17" t="str">
        <f>HYPERLINK("https://apps.fcc.gov/edocs_public/Query.do?docket=12-69")</f>
        <v>https://apps.fcc.gov/edocs_public/Query.do?docket=12-69</v>
      </c>
      <c r="E150" s="5" t="s">
        <v>1157</v>
      </c>
      <c r="F150" s="10">
        <v>460</v>
      </c>
      <c r="G150" s="12">
        <v>40988</v>
      </c>
      <c r="H150" s="12">
        <v>43312</v>
      </c>
    </row>
    <row r="151" spans="1:8" s="6" customFormat="1" ht="51">
      <c r="A151" s="4" t="s">
        <v>33</v>
      </c>
      <c r="B151" s="4" t="s">
        <v>984</v>
      </c>
      <c r="C151" s="16" t="str">
        <f>HYPERLINK("https://www.fcc.gov/ecfs/search/filings?proceedings_name=13-193&amp;sort=date_disseminated,DESC")</f>
        <v>https://www.fcc.gov/ecfs/search/filings?proceedings_name=13-193&amp;sort=date_disseminated,DESC</v>
      </c>
      <c r="D151" s="16" t="str">
        <f>HYPERLINK("https://apps.fcc.gov/edocs_public/Query.do?docket=13-193")</f>
        <v>https://apps.fcc.gov/edocs_public/Query.do?docket=13-193</v>
      </c>
      <c r="E151" s="5" t="s">
        <v>985</v>
      </c>
      <c r="F151" s="10">
        <v>174</v>
      </c>
      <c r="G151" s="10" t="s">
        <v>986</v>
      </c>
      <c r="H151" s="10" t="s">
        <v>760</v>
      </c>
    </row>
    <row r="152" spans="1:8" s="6" customFormat="1" ht="38.25">
      <c r="A152" s="4" t="s">
        <v>33</v>
      </c>
      <c r="B152" s="4" t="s">
        <v>987</v>
      </c>
      <c r="C152" s="16" t="str">
        <f>HYPERLINK("https://www.fcc.gov/ecfs/search/filings?proceedings_name=13-202&amp;sort=date_disseminated,DESC")</f>
        <v>https://www.fcc.gov/ecfs/search/filings?proceedings_name=13-202&amp;sort=date_disseminated,DESC</v>
      </c>
      <c r="D152" s="16" t="str">
        <f>HYPERLINK("https://apps.fcc.gov/edocs_public/Query.do?docket=13-202")</f>
        <v>https://apps.fcc.gov/edocs_public/Query.do?docket=13-202</v>
      </c>
      <c r="E152" s="5" t="s">
        <v>988</v>
      </c>
      <c r="F152" s="10">
        <v>31</v>
      </c>
      <c r="G152" s="10" t="s">
        <v>959</v>
      </c>
      <c r="H152" s="10" t="s">
        <v>847</v>
      </c>
    </row>
    <row r="153" spans="1:8" s="6" customFormat="1" ht="12.75">
      <c r="A153" s="4" t="s">
        <v>33</v>
      </c>
      <c r="B153" s="4" t="s">
        <v>989</v>
      </c>
      <c r="C153" s="16" t="str">
        <f>HYPERLINK("https://www.fcc.gov/ecfs/search/filings?proceedings_name=13-54&amp;sort=date_disseminated,DESC")</f>
        <v>https://www.fcc.gov/ecfs/search/filings?proceedings_name=13-54&amp;sort=date_disseminated,DESC</v>
      </c>
      <c r="D153" s="16" t="str">
        <f>HYPERLINK("https://apps.fcc.gov/edocs_public/Query.do?docket=13-54")</f>
        <v>https://apps.fcc.gov/edocs_public/Query.do?docket=13-54</v>
      </c>
      <c r="E153" s="5" t="s">
        <v>990</v>
      </c>
      <c r="F153" s="10">
        <v>87</v>
      </c>
      <c r="G153" s="10" t="s">
        <v>991</v>
      </c>
      <c r="H153" s="10" t="s">
        <v>28</v>
      </c>
    </row>
    <row r="154" spans="1:8" s="6" customFormat="1" ht="12.75">
      <c r="A154" s="4" t="s">
        <v>33</v>
      </c>
      <c r="B154" s="4" t="s">
        <v>992</v>
      </c>
      <c r="C154" s="16" t="str">
        <f>HYPERLINK("https://www.fcc.gov/ecfs/search/filings?proceedings_name=14-107&amp;sort=date_disseminated,DESC")</f>
        <v>https://www.fcc.gov/ecfs/search/filings?proceedings_name=14-107&amp;sort=date_disseminated,DESC</v>
      </c>
      <c r="D154" s="16" t="str">
        <f>HYPERLINK("https://apps.fcc.gov/edocs_public/Query.do?docket=14-107")</f>
        <v>https://apps.fcc.gov/edocs_public/Query.do?docket=14-107</v>
      </c>
      <c r="E154" s="5" t="s">
        <v>993</v>
      </c>
      <c r="F154" s="10">
        <v>10</v>
      </c>
      <c r="G154" s="10" t="s">
        <v>276</v>
      </c>
      <c r="H154" s="10" t="s">
        <v>847</v>
      </c>
    </row>
    <row r="155" spans="1:8" s="6" customFormat="1" ht="38.25">
      <c r="A155" s="4" t="s">
        <v>33</v>
      </c>
      <c r="B155" s="4" t="s">
        <v>994</v>
      </c>
      <c r="C155" s="16" t="str">
        <f>HYPERLINK("https://www.fcc.gov/ecfs/search/filings?proceedings_name=14-133&amp;sort=date_disseminated,DESC")</f>
        <v>https://www.fcc.gov/ecfs/search/filings?proceedings_name=14-133&amp;sort=date_disseminated,DESC</v>
      </c>
      <c r="D155" s="16" t="str">
        <f>HYPERLINK("https://apps.fcc.gov/edocs_public/Query.do?docket=14-133")</f>
        <v>https://apps.fcc.gov/edocs_public/Query.do?docket=14-133</v>
      </c>
      <c r="E155" s="5" t="s">
        <v>995</v>
      </c>
      <c r="F155" s="10">
        <v>7</v>
      </c>
      <c r="G155" s="10" t="s">
        <v>564</v>
      </c>
      <c r="H155" s="10" t="s">
        <v>67</v>
      </c>
    </row>
    <row r="156" spans="1:8" s="6" customFormat="1" ht="38.25">
      <c r="A156" s="4" t="s">
        <v>33</v>
      </c>
      <c r="B156" s="4" t="s">
        <v>996</v>
      </c>
      <c r="C156" s="16" t="str">
        <f>HYPERLINK("https://www.fcc.gov/ecfs/search/filings?proceedings_name=14-145&amp;sort=date_disseminated,DESC")</f>
        <v>https://www.fcc.gov/ecfs/search/filings?proceedings_name=14-145&amp;sort=date_disseminated,DESC</v>
      </c>
      <c r="D156" s="16" t="str">
        <f>HYPERLINK("https://apps.fcc.gov/edocs_public/Query.do?docket=14-145")</f>
        <v>https://apps.fcc.gov/edocs_public/Query.do?docket=14-145</v>
      </c>
      <c r="E156" s="5" t="s">
        <v>997</v>
      </c>
      <c r="F156" s="10">
        <v>52</v>
      </c>
      <c r="G156" s="10" t="s">
        <v>461</v>
      </c>
      <c r="H156" s="10" t="s">
        <v>34</v>
      </c>
    </row>
    <row r="157" spans="1:8" s="6" customFormat="1" ht="25.5">
      <c r="A157" s="4" t="s">
        <v>33</v>
      </c>
      <c r="B157" s="4" t="s">
        <v>998</v>
      </c>
      <c r="C157" s="16" t="str">
        <f>HYPERLINK("https://www.fcc.gov/ecfs/search/filings?proceedings_name=14-161&amp;sort=date_disseminated,DESC")</f>
        <v>https://www.fcc.gov/ecfs/search/filings?proceedings_name=14-161&amp;sort=date_disseminated,DESC</v>
      </c>
      <c r="D157" s="16" t="str">
        <f>HYPERLINK("https://apps.fcc.gov/edocs_public/Query.do?docket=14-161")</f>
        <v>https://apps.fcc.gov/edocs_public/Query.do?docket=14-161</v>
      </c>
      <c r="E157" s="5" t="s">
        <v>1100</v>
      </c>
      <c r="F157" s="10">
        <v>11</v>
      </c>
      <c r="G157" s="10" t="s">
        <v>115</v>
      </c>
      <c r="H157" s="10" t="s">
        <v>254</v>
      </c>
    </row>
    <row r="158" spans="1:8" s="6" customFormat="1" ht="25.5">
      <c r="A158" s="4" t="s">
        <v>33</v>
      </c>
      <c r="B158" s="4" t="s">
        <v>999</v>
      </c>
      <c r="C158" s="16" t="str">
        <f>HYPERLINK("https://www.fcc.gov/ecfs/search/filings?proceedings_name=14-167&amp;sort=date_disseminated,DESC")</f>
        <v>https://www.fcc.gov/ecfs/search/filings?proceedings_name=14-167&amp;sort=date_disseminated,DESC</v>
      </c>
      <c r="D158" s="16" t="str">
        <f>HYPERLINK("https://apps.fcc.gov/edocs_public/Query.do?docket=14-167")</f>
        <v>https://apps.fcc.gov/edocs_public/Query.do?docket=14-167</v>
      </c>
      <c r="E158" s="5" t="s">
        <v>1000</v>
      </c>
      <c r="F158" s="10">
        <v>16</v>
      </c>
      <c r="G158" s="10" t="s">
        <v>1001</v>
      </c>
      <c r="H158" s="10" t="s">
        <v>738</v>
      </c>
    </row>
    <row r="159" spans="1:8" s="6" customFormat="1" ht="12.75">
      <c r="A159" s="4" t="s">
        <v>33</v>
      </c>
      <c r="B159" s="4" t="s">
        <v>1002</v>
      </c>
      <c r="C159" s="16" t="str">
        <f>HYPERLINK("https://www.fcc.gov/ecfs/search/filings?proceedings_name=14-182&amp;sort=date_disseminated,DESC")</f>
        <v>https://www.fcc.gov/ecfs/search/filings?proceedings_name=14-182&amp;sort=date_disseminated,DESC</v>
      </c>
      <c r="D159" s="16" t="str">
        <f>HYPERLINK("https://apps.fcc.gov/edocs_public/Query.do?docket=14-182")</f>
        <v>https://apps.fcc.gov/edocs_public/Query.do?docket=14-182</v>
      </c>
      <c r="E159" s="5" t="s">
        <v>1003</v>
      </c>
      <c r="F159" s="10">
        <v>7</v>
      </c>
      <c r="G159" s="10" t="s">
        <v>1004</v>
      </c>
      <c r="H159" s="10" t="s">
        <v>1005</v>
      </c>
    </row>
    <row r="160" spans="1:8" s="6" customFormat="1" ht="12.75">
      <c r="A160" s="4" t="s">
        <v>33</v>
      </c>
      <c r="B160" s="4" t="s">
        <v>1006</v>
      </c>
      <c r="C160" s="16" t="str">
        <f>HYPERLINK("https://www.fcc.gov/ecfs/search/filings?proceedings_name=14-196&amp;sort=date_disseminated,DESC")</f>
        <v>https://www.fcc.gov/ecfs/search/filings?proceedings_name=14-196&amp;sort=date_disseminated,DESC</v>
      </c>
      <c r="D160" s="16" t="str">
        <f>HYPERLINK("https://apps.fcc.gov/edocs_public/Query.do?docket=14-196")</f>
        <v>https://apps.fcc.gov/edocs_public/Query.do?docket=14-196</v>
      </c>
      <c r="E160" s="5" t="s">
        <v>1007</v>
      </c>
      <c r="F160" s="10">
        <v>30</v>
      </c>
      <c r="G160" s="10" t="s">
        <v>465</v>
      </c>
      <c r="H160" s="10" t="s">
        <v>635</v>
      </c>
    </row>
    <row r="161" spans="1:8" s="6" customFormat="1" ht="38.25">
      <c r="A161" s="4" t="s">
        <v>33</v>
      </c>
      <c r="B161" s="4" t="s">
        <v>1008</v>
      </c>
      <c r="C161" s="16" t="str">
        <f>HYPERLINK("https://www.fcc.gov/ecfs/search/filings?proceedings_name=14-199&amp;sort=date_disseminated,DESC")</f>
        <v>https://www.fcc.gov/ecfs/search/filings?proceedings_name=14-199&amp;sort=date_disseminated,DESC</v>
      </c>
      <c r="D161" s="16" t="str">
        <f>HYPERLINK("https://apps.fcc.gov/edocs_public/Query.do?docket=14-199")</f>
        <v>https://apps.fcc.gov/edocs_public/Query.do?docket=14-199</v>
      </c>
      <c r="E161" s="5" t="s">
        <v>1009</v>
      </c>
      <c r="F161" s="10">
        <v>15</v>
      </c>
      <c r="G161" s="10" t="s">
        <v>1010</v>
      </c>
      <c r="H161" s="10" t="s">
        <v>53</v>
      </c>
    </row>
    <row r="162" spans="1:8" s="6" customFormat="1" ht="25.5">
      <c r="A162" s="4" t="s">
        <v>33</v>
      </c>
      <c r="B162" s="4" t="s">
        <v>1011</v>
      </c>
      <c r="C162" s="16" t="str">
        <f>HYPERLINK("https://www.fcc.gov/ecfs/search/filings?proceedings_name=14-206&amp;sort=date_disseminated,DESC")</f>
        <v>https://www.fcc.gov/ecfs/search/filings?proceedings_name=14-206&amp;sort=date_disseminated,DESC</v>
      </c>
      <c r="D162" s="16" t="str">
        <f>HYPERLINK("https://apps.fcc.gov/edocs_public/Query.do?docket=14-206")</f>
        <v>https://apps.fcc.gov/edocs_public/Query.do?docket=14-206</v>
      </c>
      <c r="E162" s="5" t="s">
        <v>1012</v>
      </c>
      <c r="F162" s="10">
        <v>26</v>
      </c>
      <c r="G162" s="10" t="s">
        <v>35</v>
      </c>
      <c r="H162" s="10" t="s">
        <v>1013</v>
      </c>
    </row>
    <row r="163" spans="1:8" s="6" customFormat="1" ht="25.5">
      <c r="A163" s="4" t="s">
        <v>33</v>
      </c>
      <c r="B163" s="4" t="s">
        <v>1014</v>
      </c>
      <c r="C163" s="16" t="str">
        <f>HYPERLINK("https://www.fcc.gov/ecfs/search/filings?proceedings_name=14-240&amp;sort=date_disseminated,DESC")</f>
        <v>https://www.fcc.gov/ecfs/search/filings?proceedings_name=14-240&amp;sort=date_disseminated,DESC</v>
      </c>
      <c r="D163" s="16" t="str">
        <f>HYPERLINK("https://apps.fcc.gov/edocs_public/Query.do?docket=14-240")</f>
        <v>https://apps.fcc.gov/edocs_public/Query.do?docket=14-240</v>
      </c>
      <c r="E163" s="5" t="s">
        <v>1015</v>
      </c>
      <c r="F163" s="10">
        <v>12</v>
      </c>
      <c r="G163" s="10" t="s">
        <v>546</v>
      </c>
      <c r="H163" s="10" t="s">
        <v>748</v>
      </c>
    </row>
    <row r="164" spans="1:8" s="6" customFormat="1" ht="25.5">
      <c r="A164" s="4" t="s">
        <v>33</v>
      </c>
      <c r="B164" s="4" t="s">
        <v>1016</v>
      </c>
      <c r="C164" s="16" t="str">
        <f>HYPERLINK("https://www.fcc.gov/ecfs/search/filings?proceedings_name=14-254&amp;sort=date_disseminated,DESC")</f>
        <v>https://www.fcc.gov/ecfs/search/filings?proceedings_name=14-254&amp;sort=date_disseminated,DESC</v>
      </c>
      <c r="D164" s="16" t="str">
        <f>HYPERLINK("https://apps.fcc.gov/edocs_public/Query.do?docket=14-254")</f>
        <v>https://apps.fcc.gov/edocs_public/Query.do?docket=14-254</v>
      </c>
      <c r="E164" s="5" t="s">
        <v>1017</v>
      </c>
      <c r="F164" s="10">
        <v>14</v>
      </c>
      <c r="G164" s="10" t="s">
        <v>197</v>
      </c>
      <c r="H164" s="10" t="s">
        <v>750</v>
      </c>
    </row>
    <row r="165" spans="1:8" s="6" customFormat="1" ht="12.75">
      <c r="A165" s="4" t="s">
        <v>33</v>
      </c>
      <c r="B165" s="4" t="s">
        <v>1018</v>
      </c>
      <c r="C165" s="16" t="str">
        <f>HYPERLINK("https://www.fcc.gov/ecfs/search/filings?proceedings_name=14-43&amp;sort=date_disseminated,DESC")</f>
        <v>https://www.fcc.gov/ecfs/search/filings?proceedings_name=14-43&amp;sort=date_disseminated,DESC</v>
      </c>
      <c r="D165" s="16" t="str">
        <f>HYPERLINK("https://apps.fcc.gov/edocs_public/Query.do?docket=14-43")</f>
        <v>https://apps.fcc.gov/edocs_public/Query.do?docket=14-43</v>
      </c>
      <c r="E165" s="5" t="s">
        <v>1019</v>
      </c>
      <c r="F165" s="10">
        <v>5</v>
      </c>
      <c r="G165" s="10" t="s">
        <v>1020</v>
      </c>
      <c r="H165" s="10" t="s">
        <v>1021</v>
      </c>
    </row>
    <row r="166" spans="1:8" s="6" customFormat="1" ht="25.5">
      <c r="A166" s="4" t="s">
        <v>33</v>
      </c>
      <c r="B166" s="4" t="s">
        <v>1022</v>
      </c>
      <c r="C166" s="16" t="str">
        <f>HYPERLINK("https://www.fcc.gov/ecfs/search/filings?proceedings_name=14-78&amp;sort=date_disseminated,DESC")</f>
        <v>https://www.fcc.gov/ecfs/search/filings?proceedings_name=14-78&amp;sort=date_disseminated,DESC</v>
      </c>
      <c r="D166" s="16" t="str">
        <f>HYPERLINK("https://apps.fcc.gov/edocs_public/Query.do?docket=14-78")</f>
        <v>https://apps.fcc.gov/edocs_public/Query.do?docket=14-78</v>
      </c>
      <c r="E166" s="5" t="s">
        <v>1023</v>
      </c>
      <c r="F166" s="10">
        <v>55</v>
      </c>
      <c r="G166" s="10" t="s">
        <v>1024</v>
      </c>
      <c r="H166" s="10" t="s">
        <v>9</v>
      </c>
    </row>
    <row r="167" spans="1:8" s="6" customFormat="1" ht="12.75">
      <c r="A167" s="4" t="s">
        <v>33</v>
      </c>
      <c r="B167" s="4" t="s">
        <v>1025</v>
      </c>
      <c r="C167" s="16" t="str">
        <f>HYPERLINK("https://www.fcc.gov/ecfs/search/filings?proceedings_name=14-83&amp;sort=date_disseminated,DESC")</f>
        <v>https://www.fcc.gov/ecfs/search/filings?proceedings_name=14-83&amp;sort=date_disseminated,DESC</v>
      </c>
      <c r="D167" s="16" t="str">
        <f>HYPERLINK("https://apps.fcc.gov/edocs_public/Query.do?docket=14-83")</f>
        <v>https://apps.fcc.gov/edocs_public/Query.do?docket=14-83</v>
      </c>
      <c r="E167" s="5" t="s">
        <v>1026</v>
      </c>
      <c r="F167" s="10">
        <v>4</v>
      </c>
      <c r="G167" s="10" t="s">
        <v>1027</v>
      </c>
      <c r="H167" s="10" t="s">
        <v>1028</v>
      </c>
    </row>
    <row r="168" spans="1:8" s="6" customFormat="1" ht="12.75">
      <c r="A168" s="4" t="s">
        <v>33</v>
      </c>
      <c r="B168" s="4" t="s">
        <v>1029</v>
      </c>
      <c r="C168" s="16" t="str">
        <f>HYPERLINK("https://www.fcc.gov/ecfs/search/filings?proceedings_name=14-98&amp;sort=date_disseminated,DESC")</f>
        <v>https://www.fcc.gov/ecfs/search/filings?proceedings_name=14-98&amp;sort=date_disseminated,DESC</v>
      </c>
      <c r="D168" s="16" t="str">
        <f>HYPERLINK("https://apps.fcc.gov/edocs_public/Query.do?docket=14-98")</f>
        <v>https://apps.fcc.gov/edocs_public/Query.do?docket=14-98</v>
      </c>
      <c r="E168" s="5" t="s">
        <v>1030</v>
      </c>
      <c r="F168" s="10">
        <v>11</v>
      </c>
      <c r="G168" s="10" t="s">
        <v>1031</v>
      </c>
      <c r="H168" s="10" t="s">
        <v>35</v>
      </c>
    </row>
    <row r="169" spans="1:8" s="6" customFormat="1" ht="12.75">
      <c r="A169" s="4" t="s">
        <v>33</v>
      </c>
      <c r="B169" s="4" t="s">
        <v>1032</v>
      </c>
      <c r="C169" s="16" t="str">
        <f>HYPERLINK("https://www.fcc.gov/ecfs/search/filings?proceedings_name=15-110&amp;sort=date_disseminated,DESC")</f>
        <v>https://www.fcc.gov/ecfs/search/filings?proceedings_name=15-110&amp;sort=date_disseminated,DESC</v>
      </c>
      <c r="D169" s="16" t="str">
        <f>HYPERLINK("https://apps.fcc.gov/edocs_public/Query.do?docket=15-110")</f>
        <v>https://apps.fcc.gov/edocs_public/Query.do?docket=15-110</v>
      </c>
      <c r="E169" s="5" t="s">
        <v>1033</v>
      </c>
      <c r="F169" s="10">
        <v>4</v>
      </c>
      <c r="G169" s="10" t="s">
        <v>1034</v>
      </c>
      <c r="H169" s="10" t="s">
        <v>422</v>
      </c>
    </row>
    <row r="170" spans="1:8" s="6" customFormat="1" ht="25.5">
      <c r="A170" s="4" t="s">
        <v>33</v>
      </c>
      <c r="B170" s="4" t="s">
        <v>1035</v>
      </c>
      <c r="C170" s="16" t="str">
        <f>HYPERLINK("https://www.fcc.gov/ecfs/search/filings?proceedings_name=15-125&amp;sort=date_disseminated,DESC")</f>
        <v>https://www.fcc.gov/ecfs/search/filings?proceedings_name=15-125&amp;sort=date_disseminated,DESC</v>
      </c>
      <c r="D170" s="16" t="str">
        <f>HYPERLINK("https://apps.fcc.gov/edocs_public/Query.do?docket=15-125")</f>
        <v>https://apps.fcc.gov/edocs_public/Query.do?docket=15-125</v>
      </c>
      <c r="E170" s="5" t="s">
        <v>1036</v>
      </c>
      <c r="F170" s="10">
        <v>21</v>
      </c>
      <c r="G170" s="10" t="s">
        <v>1037</v>
      </c>
      <c r="H170" s="10" t="s">
        <v>458</v>
      </c>
    </row>
    <row r="171" spans="1:8" s="6" customFormat="1" ht="12.75">
      <c r="A171" s="4" t="s">
        <v>33</v>
      </c>
      <c r="B171" s="4" t="s">
        <v>1038</v>
      </c>
      <c r="C171" s="16" t="str">
        <f>HYPERLINK("https://www.fcc.gov/ecfs/search/filings?proceedings_name=15-13&amp;sort=date_disseminated,DESC")</f>
        <v>https://www.fcc.gov/ecfs/search/filings?proceedings_name=15-13&amp;sort=date_disseminated,DESC</v>
      </c>
      <c r="D171" s="16" t="str">
        <f>HYPERLINK("https://apps.fcc.gov/edocs_public/Query.do?docket=15-13")</f>
        <v>https://apps.fcc.gov/edocs_public/Query.do?docket=15-13</v>
      </c>
      <c r="E171" s="5" t="s">
        <v>1039</v>
      </c>
      <c r="F171" s="10">
        <v>18</v>
      </c>
      <c r="G171" s="10" t="s">
        <v>1005</v>
      </c>
      <c r="H171" s="10" t="s">
        <v>717</v>
      </c>
    </row>
    <row r="172" spans="1:8" s="6" customFormat="1" ht="12.75">
      <c r="A172" s="4" t="s">
        <v>33</v>
      </c>
      <c r="B172" s="4" t="s">
        <v>1040</v>
      </c>
      <c r="C172" s="16" t="str">
        <f>HYPERLINK("https://www.fcc.gov/ecfs/search/filings?proceedings_name=15-130&amp;sort=date_disseminated,DESC")</f>
        <v>https://www.fcc.gov/ecfs/search/filings?proceedings_name=15-130&amp;sort=date_disseminated,DESC</v>
      </c>
      <c r="D172" s="16" t="str">
        <f>HYPERLINK("https://apps.fcc.gov/edocs_public/Query.do?docket=15-130")</f>
        <v>https://apps.fcc.gov/edocs_public/Query.do?docket=15-130</v>
      </c>
      <c r="E172" s="5" t="s">
        <v>1041</v>
      </c>
      <c r="F172" s="10">
        <v>7</v>
      </c>
      <c r="G172" s="10" t="s">
        <v>8</v>
      </c>
      <c r="H172" s="10" t="s">
        <v>1042</v>
      </c>
    </row>
    <row r="173" spans="1:8" s="6" customFormat="1" ht="12.75">
      <c r="A173" s="4" t="s">
        <v>33</v>
      </c>
      <c r="B173" s="4" t="s">
        <v>1043</v>
      </c>
      <c r="C173" s="16" t="str">
        <f>HYPERLINK("https://www.fcc.gov/ecfs/search/filings?proceedings_name=15-156&amp;sort=date_disseminated,DESC")</f>
        <v>https://www.fcc.gov/ecfs/search/filings?proceedings_name=15-156&amp;sort=date_disseminated,DESC</v>
      </c>
      <c r="D173" s="16" t="str">
        <f>HYPERLINK("https://apps.fcc.gov/edocs_public/Query.do?docket=15-156")</f>
        <v>https://apps.fcc.gov/edocs_public/Query.do?docket=15-156</v>
      </c>
      <c r="E173" s="5" t="s">
        <v>1044</v>
      </c>
      <c r="F173" s="10">
        <v>6</v>
      </c>
      <c r="G173" s="10" t="s">
        <v>596</v>
      </c>
      <c r="H173" s="10" t="s">
        <v>1045</v>
      </c>
    </row>
    <row r="174" spans="1:8" s="6" customFormat="1" ht="51">
      <c r="A174" s="4" t="s">
        <v>33</v>
      </c>
      <c r="B174" s="4" t="s">
        <v>1046</v>
      </c>
      <c r="C174" s="16" t="str">
        <f>HYPERLINK("https://www.fcc.gov/ecfs/search/filings?proceedings_name=15-181&amp;sort=date_disseminated,DESC")</f>
        <v>https://www.fcc.gov/ecfs/search/filings?proceedings_name=15-181&amp;sort=date_disseminated,DESC</v>
      </c>
      <c r="D174" s="16" t="str">
        <f>HYPERLINK("https://apps.fcc.gov/edocs_public/Query.do?docket=15-181")</f>
        <v>https://apps.fcc.gov/edocs_public/Query.do?docket=15-181</v>
      </c>
      <c r="E174" s="5" t="s">
        <v>1047</v>
      </c>
      <c r="F174" s="10">
        <v>14</v>
      </c>
      <c r="G174" s="10" t="s">
        <v>699</v>
      </c>
      <c r="H174" s="10" t="s">
        <v>1048</v>
      </c>
    </row>
    <row r="175" spans="1:8" s="6" customFormat="1" ht="38.25">
      <c r="A175" s="4" t="s">
        <v>33</v>
      </c>
      <c r="B175" s="4" t="s">
        <v>1049</v>
      </c>
      <c r="C175" s="16" t="str">
        <f>HYPERLINK("https://www.fcc.gov/ecfs/search/filings?proceedings_name=15-210&amp;sort=date_disseminated,DESC")</f>
        <v>https://www.fcc.gov/ecfs/search/filings?proceedings_name=15-210&amp;sort=date_disseminated,DESC</v>
      </c>
      <c r="D175" s="16" t="str">
        <f>HYPERLINK("https://apps.fcc.gov/edocs_public/Query.do?docket=15-210")</f>
        <v>https://apps.fcc.gov/edocs_public/Query.do?docket=15-210</v>
      </c>
      <c r="E175" s="5" t="s">
        <v>1050</v>
      </c>
      <c r="F175" s="10">
        <v>9</v>
      </c>
      <c r="G175" s="10" t="s">
        <v>27</v>
      </c>
      <c r="H175" s="10" t="s">
        <v>899</v>
      </c>
    </row>
    <row r="176" spans="1:8" s="6" customFormat="1" ht="51">
      <c r="A176" s="4" t="s">
        <v>33</v>
      </c>
      <c r="B176" s="4" t="s">
        <v>1051</v>
      </c>
      <c r="C176" s="16" t="str">
        <f>HYPERLINK("https://www.fcc.gov/ecfs/search/filings?proceedings_name=15-221&amp;sort=date_disseminated,DESC")</f>
        <v>https://www.fcc.gov/ecfs/search/filings?proceedings_name=15-221&amp;sort=date_disseminated,DESC</v>
      </c>
      <c r="D176" s="16" t="str">
        <f>HYPERLINK("https://apps.fcc.gov/edocs_public/Query.do?docket=15-221")</f>
        <v>https://apps.fcc.gov/edocs_public/Query.do?docket=15-221</v>
      </c>
      <c r="E176" s="5" t="s">
        <v>1052</v>
      </c>
      <c r="F176" s="10">
        <v>14</v>
      </c>
      <c r="G176" s="10" t="s">
        <v>202</v>
      </c>
      <c r="H176" s="10" t="s">
        <v>1048</v>
      </c>
    </row>
    <row r="177" spans="1:8" s="6" customFormat="1" ht="51">
      <c r="A177" s="4" t="s">
        <v>33</v>
      </c>
      <c r="B177" s="4" t="s">
        <v>1053</v>
      </c>
      <c r="C177" s="16" t="str">
        <f>HYPERLINK("https://www.fcc.gov/ecfs/search/filings?proceedings_name=15-225&amp;sort=date_disseminated,DESC")</f>
        <v>https://www.fcc.gov/ecfs/search/filings?proceedings_name=15-225&amp;sort=date_disseminated,DESC</v>
      </c>
      <c r="D177" s="16" t="str">
        <f>HYPERLINK("https://apps.fcc.gov/edocs_public/Query.do?docket=15-225")</f>
        <v>https://apps.fcc.gov/edocs_public/Query.do?docket=15-225</v>
      </c>
      <c r="E177" s="5" t="s">
        <v>1054</v>
      </c>
      <c r="F177" s="10">
        <v>13</v>
      </c>
      <c r="G177" s="10" t="s">
        <v>1055</v>
      </c>
      <c r="H177" s="10" t="s">
        <v>1056</v>
      </c>
    </row>
    <row r="178" spans="1:8" s="6" customFormat="1" ht="12.75">
      <c r="A178" s="4" t="s">
        <v>33</v>
      </c>
      <c r="B178" s="4" t="s">
        <v>1057</v>
      </c>
      <c r="C178" s="16" t="str">
        <f>HYPERLINK("https://www.fcc.gov/ecfs/search/filings?proceedings_name=15-267&amp;sort=date_disseminated,DESC")</f>
        <v>https://www.fcc.gov/ecfs/search/filings?proceedings_name=15-267&amp;sort=date_disseminated,DESC</v>
      </c>
      <c r="D178" s="16" t="str">
        <f>HYPERLINK("https://apps.fcc.gov/edocs_public/Query.do?docket=15-267")</f>
        <v>https://apps.fcc.gov/edocs_public/Query.do?docket=15-267</v>
      </c>
      <c r="E178" s="5" t="s">
        <v>1058</v>
      </c>
      <c r="F178" s="10">
        <v>15</v>
      </c>
      <c r="G178" s="10" t="s">
        <v>760</v>
      </c>
      <c r="H178" s="10" t="s">
        <v>1059</v>
      </c>
    </row>
    <row r="179" spans="1:8" s="6" customFormat="1" ht="63.75">
      <c r="A179" s="4" t="s">
        <v>33</v>
      </c>
      <c r="B179" s="4" t="s">
        <v>1060</v>
      </c>
      <c r="C179" s="16" t="str">
        <f>HYPERLINK("https://www.fcc.gov/ecfs/search/filings?proceedings_name=15-282&amp;sort=date_disseminated,DESC")</f>
        <v>https://www.fcc.gov/ecfs/search/filings?proceedings_name=15-282&amp;sort=date_disseminated,DESC</v>
      </c>
      <c r="D179" s="16" t="str">
        <f>HYPERLINK("https://apps.fcc.gov/edocs_public/Query.do?docket=15-282")</f>
        <v>https://apps.fcc.gov/edocs_public/Query.do?docket=15-282</v>
      </c>
      <c r="E179" s="5" t="s">
        <v>1061</v>
      </c>
      <c r="F179" s="10">
        <v>5</v>
      </c>
      <c r="G179" s="10" t="s">
        <v>9</v>
      </c>
      <c r="H179" s="10" t="s">
        <v>457</v>
      </c>
    </row>
    <row r="180" spans="1:8" s="6" customFormat="1" ht="12.75">
      <c r="A180" s="4" t="s">
        <v>33</v>
      </c>
      <c r="B180" s="4" t="s">
        <v>1062</v>
      </c>
      <c r="C180" s="16" t="str">
        <f>HYPERLINK("https://www.fcc.gov/ecfs/search/filings?proceedings_name=15-3&amp;sort=date_disseminated,DESC")</f>
        <v>https://www.fcc.gov/ecfs/search/filings?proceedings_name=15-3&amp;sort=date_disseminated,DESC</v>
      </c>
      <c r="D180" s="16" t="str">
        <f>HYPERLINK("https://apps.fcc.gov/edocs_public/Query.do?docket=15-3")</f>
        <v>https://apps.fcc.gov/edocs_public/Query.do?docket=15-3</v>
      </c>
      <c r="E180" s="5" t="s">
        <v>1063</v>
      </c>
      <c r="F180" s="10">
        <v>8</v>
      </c>
      <c r="G180" s="10" t="s">
        <v>278</v>
      </c>
      <c r="H180" s="10" t="s">
        <v>676</v>
      </c>
    </row>
    <row r="181" spans="1:8" s="6" customFormat="1" ht="12.75">
      <c r="A181" s="4" t="s">
        <v>33</v>
      </c>
      <c r="B181" s="4" t="s">
        <v>1064</v>
      </c>
      <c r="C181" s="16" t="str">
        <f>HYPERLINK("https://www.fcc.gov/ecfs/search/filings?proceedings_name=15-48&amp;sort=date_disseminated,DESC")</f>
        <v>https://www.fcc.gov/ecfs/search/filings?proceedings_name=15-48&amp;sort=date_disseminated,DESC</v>
      </c>
      <c r="D181" s="16" t="str">
        <f>HYPERLINK("https://apps.fcc.gov/edocs_public/Query.do?docket=15-48")</f>
        <v>https://apps.fcc.gov/edocs_public/Query.do?docket=15-48</v>
      </c>
      <c r="E181" s="5" t="s">
        <v>1129</v>
      </c>
      <c r="F181" s="10">
        <v>15</v>
      </c>
      <c r="G181" s="10" t="s">
        <v>13</v>
      </c>
      <c r="H181" s="10" t="s">
        <v>1065</v>
      </c>
    </row>
    <row r="182" spans="1:8" s="6" customFormat="1" ht="12.75">
      <c r="A182" s="4" t="s">
        <v>33</v>
      </c>
      <c r="B182" s="4" t="s">
        <v>1066</v>
      </c>
      <c r="C182" s="16" t="str">
        <f>HYPERLINK("https://www.fcc.gov/ecfs/search/filings?proceedings_name=15-7&amp;sort=date_disseminated,DESC")</f>
        <v>https://www.fcc.gov/ecfs/search/filings?proceedings_name=15-7&amp;sort=date_disseminated,DESC</v>
      </c>
      <c r="D182" s="16" t="str">
        <f>HYPERLINK("https://apps.fcc.gov/edocs_public/Query.do?docket=15-7")</f>
        <v>https://apps.fcc.gov/edocs_public/Query.do?docket=15-7</v>
      </c>
      <c r="E182" s="5" t="s">
        <v>1067</v>
      </c>
      <c r="F182" s="10">
        <v>18</v>
      </c>
      <c r="G182" s="10" t="s">
        <v>863</v>
      </c>
      <c r="H182" s="10" t="s">
        <v>769</v>
      </c>
    </row>
    <row r="183" spans="1:8" s="6" customFormat="1" ht="12.75">
      <c r="A183" s="4" t="s">
        <v>33</v>
      </c>
      <c r="B183" s="4" t="s">
        <v>1068</v>
      </c>
      <c r="C183" s="16" t="str">
        <f>HYPERLINK("https://www.fcc.gov/ecfs/search/filings?proceedings_name=15-72&amp;sort=date_disseminated,DESC")</f>
        <v>https://www.fcc.gov/ecfs/search/filings?proceedings_name=15-72&amp;sort=date_disseminated,DESC</v>
      </c>
      <c r="D183" s="16" t="str">
        <f>HYPERLINK("https://apps.fcc.gov/edocs_public/Query.do?docket=15-72")</f>
        <v>https://apps.fcc.gov/edocs_public/Query.do?docket=15-72</v>
      </c>
      <c r="E183" s="5" t="s">
        <v>1069</v>
      </c>
      <c r="F183" s="10">
        <v>3</v>
      </c>
      <c r="G183" s="10" t="s">
        <v>591</v>
      </c>
      <c r="H183" s="10" t="s">
        <v>687</v>
      </c>
    </row>
    <row r="184" spans="1:8" s="6" customFormat="1" ht="12.75">
      <c r="A184" s="4" t="s">
        <v>33</v>
      </c>
      <c r="B184" s="4" t="s">
        <v>1070</v>
      </c>
      <c r="C184" s="16" t="str">
        <f>HYPERLINK("https://www.fcc.gov/ecfs/search/filings?proceedings_name=15-78&amp;sort=date_disseminated,DESC")</f>
        <v>https://www.fcc.gov/ecfs/search/filings?proceedings_name=15-78&amp;sort=date_disseminated,DESC</v>
      </c>
      <c r="D184" s="16" t="str">
        <f>HYPERLINK("https://apps.fcc.gov/edocs_public/Query.do?docket=15-78")</f>
        <v>https://apps.fcc.gov/edocs_public/Query.do?docket=15-78</v>
      </c>
      <c r="E184" s="5" t="s">
        <v>1071</v>
      </c>
      <c r="F184" s="10">
        <v>14</v>
      </c>
      <c r="G184" s="10" t="s">
        <v>1072</v>
      </c>
      <c r="H184" s="10" t="s">
        <v>1073</v>
      </c>
    </row>
    <row r="185" spans="1:8" s="6" customFormat="1" ht="12.75">
      <c r="A185" s="4" t="s">
        <v>33</v>
      </c>
      <c r="B185" s="4" t="s">
        <v>1074</v>
      </c>
      <c r="C185" s="16" t="str">
        <f>HYPERLINK("https://www.fcc.gov/ecfs/search/filings?proceedings_name=15-79&amp;sort=date_disseminated,DESC")</f>
        <v>https://www.fcc.gov/ecfs/search/filings?proceedings_name=15-79&amp;sort=date_disseminated,DESC</v>
      </c>
      <c r="D185" s="16" t="str">
        <f>HYPERLINK("https://apps.fcc.gov/edocs_public/Query.do?docket=15-79")</f>
        <v>https://apps.fcc.gov/edocs_public/Query.do?docket=15-79</v>
      </c>
      <c r="E185" s="5" t="s">
        <v>1075</v>
      </c>
      <c r="F185" s="10">
        <v>35</v>
      </c>
      <c r="G185" s="10" t="s">
        <v>1072</v>
      </c>
      <c r="H185" s="10" t="s">
        <v>1076</v>
      </c>
    </row>
    <row r="186" spans="1:8" s="6" customFormat="1" ht="12.75">
      <c r="A186" s="4" t="s">
        <v>33</v>
      </c>
      <c r="B186" s="4" t="s">
        <v>1077</v>
      </c>
      <c r="C186" s="16" t="str">
        <f>HYPERLINK("https://www.fcc.gov/ecfs/search/filings?proceedings_name=15-85&amp;sort=date_disseminated,DESC")</f>
        <v>https://www.fcc.gov/ecfs/search/filings?proceedings_name=15-85&amp;sort=date_disseminated,DESC</v>
      </c>
      <c r="D186" s="16" t="str">
        <f>HYPERLINK("https://apps.fcc.gov/edocs_public/Query.do?docket=15-85")</f>
        <v>https://apps.fcc.gov/edocs_public/Query.do?docket=15-85</v>
      </c>
      <c r="E186" s="5" t="s">
        <v>1078</v>
      </c>
      <c r="F186" s="10">
        <v>7</v>
      </c>
      <c r="G186" s="10" t="s">
        <v>1079</v>
      </c>
      <c r="H186" s="10" t="s">
        <v>539</v>
      </c>
    </row>
    <row r="187" spans="1:8" s="6" customFormat="1" ht="12.75">
      <c r="A187" s="4" t="s">
        <v>33</v>
      </c>
      <c r="B187" s="4" t="s">
        <v>1080</v>
      </c>
      <c r="C187" s="16" t="str">
        <f>HYPERLINK("https://www.fcc.gov/ecfs/search/filings?proceedings_name=15-86&amp;sort=date_disseminated,DESC")</f>
        <v>https://www.fcc.gov/ecfs/search/filings?proceedings_name=15-86&amp;sort=date_disseminated,DESC</v>
      </c>
      <c r="D187" s="16" t="str">
        <f>HYPERLINK("https://apps.fcc.gov/edocs_public/Query.do?docket=15-86")</f>
        <v>https://apps.fcc.gov/edocs_public/Query.do?docket=15-86</v>
      </c>
      <c r="E187" s="5" t="s">
        <v>1081</v>
      </c>
      <c r="F187" s="10">
        <v>9</v>
      </c>
      <c r="G187" s="10" t="s">
        <v>1082</v>
      </c>
      <c r="H187" s="10" t="s">
        <v>744</v>
      </c>
    </row>
    <row r="188" spans="1:8" s="6" customFormat="1" ht="25.5">
      <c r="A188" s="4" t="s">
        <v>33</v>
      </c>
      <c r="B188" s="4" t="s">
        <v>1083</v>
      </c>
      <c r="C188" s="16" t="str">
        <f>HYPERLINK("https://www.fcc.gov/ecfs/search/filings?proceedings_name=RM-11596&amp;sort=date_disseminated,DESC")</f>
        <v>https://www.fcc.gov/ecfs/search/filings?proceedings_name=RM-11596&amp;sort=date_disseminated,DESC</v>
      </c>
      <c r="D188" s="16" t="str">
        <f>HYPERLINK("https://apps.fcc.gov/edocs_public/Query.do?docket=RM-11596")</f>
        <v>https://apps.fcc.gov/edocs_public/Query.do?docket=RM-11596</v>
      </c>
      <c r="E188" s="5" t="s">
        <v>1084</v>
      </c>
      <c r="F188" s="10">
        <v>17</v>
      </c>
      <c r="G188" s="10" t="s">
        <v>1085</v>
      </c>
      <c r="H188" s="10" t="s">
        <v>930</v>
      </c>
    </row>
    <row r="189" spans="1:8" s="6" customFormat="1" ht="25.5">
      <c r="A189" s="4" t="s">
        <v>33</v>
      </c>
      <c r="B189" s="4" t="s">
        <v>1086</v>
      </c>
      <c r="C189" s="16" t="str">
        <f>HYPERLINK("https://www.fcc.gov/ecfs/search/filings?proceedings_name=RM-11731&amp;sort=date_disseminated,DESC")</f>
        <v>https://www.fcc.gov/ecfs/search/filings?proceedings_name=RM-11731&amp;sort=date_disseminated,DESC</v>
      </c>
      <c r="D189" s="16" t="str">
        <f>HYPERLINK("https://apps.fcc.gov/edocs_public/Query.do?docket=RM-11731")</f>
        <v>https://apps.fcc.gov/edocs_public/Query.do?docket=RM-11731</v>
      </c>
      <c r="E189" s="5" t="s">
        <v>1087</v>
      </c>
      <c r="F189" s="10">
        <v>18</v>
      </c>
      <c r="G189" s="10" t="s">
        <v>175</v>
      </c>
      <c r="H189" s="10" t="s">
        <v>36</v>
      </c>
    </row>
    <row r="190" spans="1:8" s="6" customFormat="1" ht="25.5">
      <c r="A190" s="5" t="s">
        <v>475</v>
      </c>
      <c r="B190" s="5" t="s">
        <v>493</v>
      </c>
      <c r="C190" s="16" t="str">
        <f>HYPERLINK("https://www.fcc.gov/ecfs/search/filings?proceedings_name=07-38&amp;sort=date_disseminated,DESC")</f>
        <v>https://www.fcc.gov/ecfs/search/filings?proceedings_name=07-38&amp;sort=date_disseminated,DESC</v>
      </c>
      <c r="D190" s="16" t="str">
        <f>HYPERLINK("https://apps.fcc.gov/edocs_public/Query.do?docket=07-38")</f>
        <v>https://apps.fcc.gov/edocs_public/Query.do?docket=07-38</v>
      </c>
      <c r="E190" s="5" t="s">
        <v>1130</v>
      </c>
      <c r="F190" s="11">
        <v>453</v>
      </c>
      <c r="G190" s="11" t="s">
        <v>494</v>
      </c>
      <c r="H190" s="11" t="s">
        <v>236</v>
      </c>
    </row>
    <row r="191" spans="1:8" s="6" customFormat="1" ht="25.5">
      <c r="A191" s="5" t="s">
        <v>475</v>
      </c>
      <c r="B191" s="5" t="s">
        <v>523</v>
      </c>
      <c r="C191" s="16" t="str">
        <f>HYPERLINK("https://www.fcc.gov/ecfs/search/filings?proceedings_name=11-39&amp;sort=date_disseminated,DESC")</f>
        <v>https://www.fcc.gov/ecfs/search/filings?proceedings_name=11-39&amp;sort=date_disseminated,DESC</v>
      </c>
      <c r="D191" s="16" t="str">
        <f>HYPERLINK("https://apps.fcc.gov/edocs_public/Query.do?docket=11-39")</f>
        <v>https://apps.fcc.gov/edocs_public/Query.do?docket=11-39</v>
      </c>
      <c r="E191" s="5" t="s">
        <v>1131</v>
      </c>
      <c r="F191" s="11">
        <v>92</v>
      </c>
      <c r="G191" s="11" t="s">
        <v>524</v>
      </c>
      <c r="H191" s="11" t="s">
        <v>525</v>
      </c>
    </row>
    <row r="192" spans="1:8" s="6" customFormat="1" ht="25.5">
      <c r="A192" s="5" t="s">
        <v>475</v>
      </c>
      <c r="B192" s="5" t="s">
        <v>504</v>
      </c>
      <c r="C192" s="16" t="str">
        <f>HYPERLINK("https://www.fcc.gov/ecfs/search/filings?proceedings_name=08-49&amp;sort=date_disseminated,DESC")</f>
        <v>https://www.fcc.gov/ecfs/search/filings?proceedings_name=08-49&amp;sort=date_disseminated,DESC</v>
      </c>
      <c r="D192" s="16" t="str">
        <f>HYPERLINK("https://apps.fcc.gov/edocs_public/Query.do?docket=08-49")</f>
        <v>https://apps.fcc.gov/edocs_public/Query.do?docket=08-49</v>
      </c>
      <c r="E192" s="5" t="s">
        <v>1132</v>
      </c>
      <c r="F192" s="11">
        <v>172</v>
      </c>
      <c r="G192" s="11" t="s">
        <v>505</v>
      </c>
      <c r="H192" s="11" t="s">
        <v>492</v>
      </c>
    </row>
    <row r="193" spans="1:8" s="6" customFormat="1" ht="38.25">
      <c r="A193" s="5" t="s">
        <v>475</v>
      </c>
      <c r="B193" s="5" t="s">
        <v>537</v>
      </c>
      <c r="C193" s="16" t="str">
        <f>HYPERLINK("https://www.fcc.gov/ecfs/search/filings?proceedings_name=12-71&amp;sort=date_disseminated,DESC")</f>
        <v>https://www.fcc.gov/ecfs/search/filings?proceedings_name=12-71&amp;sort=date_disseminated,DESC</v>
      </c>
      <c r="D193" s="16" t="str">
        <f>HYPERLINK("https://apps.fcc.gov/edocs_public/Query.do?docket=12-71")</f>
        <v>https://apps.fcc.gov/edocs_public/Query.do?docket=12-71</v>
      </c>
      <c r="E193" s="5" t="s">
        <v>1101</v>
      </c>
      <c r="F193" s="11">
        <v>18</v>
      </c>
      <c r="G193" s="11" t="s">
        <v>538</v>
      </c>
      <c r="H193" s="11" t="s">
        <v>539</v>
      </c>
    </row>
    <row r="194" spans="1:8" s="6" customFormat="1" ht="38.25">
      <c r="A194" s="5" t="s">
        <v>475</v>
      </c>
      <c r="B194" s="5" t="s">
        <v>482</v>
      </c>
      <c r="C194" s="16" t="str">
        <f>HYPERLINK("https://www.fcc.gov/ecfs/search/filings?proceedings_name=06-90&amp;sort=date_disseminated,DESC")</f>
        <v>https://www.fcc.gov/ecfs/search/filings?proceedings_name=06-90&amp;sort=date_disseminated,DESC</v>
      </c>
      <c r="D194" s="16" t="str">
        <f>HYPERLINK("https://apps.fcc.gov/edocs_public/Query.do?docket=06-90")</f>
        <v>https://apps.fcc.gov/edocs_public/Query.do?docket=06-90</v>
      </c>
      <c r="E194" s="5" t="s">
        <v>1133</v>
      </c>
      <c r="F194" s="11">
        <v>38</v>
      </c>
      <c r="G194" s="11" t="s">
        <v>483</v>
      </c>
      <c r="H194" s="11" t="s">
        <v>484</v>
      </c>
    </row>
    <row r="195" spans="1:8" s="6" customFormat="1" ht="25.5">
      <c r="A195" s="5" t="s">
        <v>475</v>
      </c>
      <c r="B195" s="5" t="s">
        <v>526</v>
      </c>
      <c r="C195" s="16" t="str">
        <f>HYPERLINK("https://www.fcc.gov/ecfs/search/filings?proceedings_name=11-95&amp;sort=date_disseminated,DESC")</f>
        <v>https://www.fcc.gov/ecfs/search/filings?proceedings_name=11-95&amp;sort=date_disseminated,DESC</v>
      </c>
      <c r="D195" s="16" t="str">
        <f>HYPERLINK("https://apps.fcc.gov/edocs_public/Query.do?docket=11-95")</f>
        <v>https://apps.fcc.gov/edocs_public/Query.do?docket=11-95</v>
      </c>
      <c r="E195" s="5" t="s">
        <v>1134</v>
      </c>
      <c r="F195" s="11">
        <v>26</v>
      </c>
      <c r="G195" s="11" t="s">
        <v>527</v>
      </c>
      <c r="H195" s="11" t="s">
        <v>528</v>
      </c>
    </row>
    <row r="196" spans="1:8" s="6" customFormat="1" ht="38.25">
      <c r="A196" s="5" t="s">
        <v>475</v>
      </c>
      <c r="B196" s="5" t="s">
        <v>495</v>
      </c>
      <c r="C196" s="16" t="str">
        <f>HYPERLINK("https://www.fcc.gov/ecfs/search/filings?proceedings_name=07-97&amp;sort=date_disseminated,DESC")</f>
        <v>https://www.fcc.gov/ecfs/search/filings?proceedings_name=07-97&amp;sort=date_disseminated,DESC</v>
      </c>
      <c r="D196" s="16" t="str">
        <f>HYPERLINK("https://apps.fcc.gov/edocs_public/Query.do?docket=07-97")</f>
        <v>https://apps.fcc.gov/edocs_public/Query.do?docket=07-97</v>
      </c>
      <c r="E196" s="5" t="s">
        <v>1135</v>
      </c>
      <c r="F196" s="11">
        <v>538</v>
      </c>
      <c r="G196" s="11" t="s">
        <v>496</v>
      </c>
      <c r="H196" s="11" t="s">
        <v>481</v>
      </c>
    </row>
    <row r="197" spans="1:8" s="6" customFormat="1" ht="25.5">
      <c r="A197" s="5" t="s">
        <v>475</v>
      </c>
      <c r="B197" s="5" t="s">
        <v>490</v>
      </c>
      <c r="C197" s="16" t="str">
        <f>HYPERLINK("https://www.fcc.gov/ecfs/search/filings?proceedings_name=07-31&amp;sort=date_disseminated,DESC")</f>
        <v>https://www.fcc.gov/ecfs/search/filings?proceedings_name=07-31&amp;sort=date_disseminated,DESC</v>
      </c>
      <c r="D197" s="16" t="str">
        <f>HYPERLINK("https://apps.fcc.gov/edocs_public/Query.do?docket=07-31")</f>
        <v>https://apps.fcc.gov/edocs_public/Query.do?docket=07-31</v>
      </c>
      <c r="E197" s="5" t="s">
        <v>1136</v>
      </c>
      <c r="F197" s="11">
        <v>14</v>
      </c>
      <c r="G197" s="11" t="s">
        <v>491</v>
      </c>
      <c r="H197" s="11" t="s">
        <v>492</v>
      </c>
    </row>
    <row r="198" spans="1:8" s="6" customFormat="1" ht="25.5">
      <c r="A198" s="5" t="s">
        <v>475</v>
      </c>
      <c r="B198" s="5" t="s">
        <v>502</v>
      </c>
      <c r="C198" s="16" t="str">
        <f>HYPERLINK("https://www.fcc.gov/ecfs/search/filings?proceedings_name=08-24&amp;sort=date_disseminated,DESC")</f>
        <v>https://www.fcc.gov/ecfs/search/filings?proceedings_name=08-24&amp;sort=date_disseminated,DESC</v>
      </c>
      <c r="D198" s="16" t="str">
        <f>HYPERLINK("https://apps.fcc.gov/edocs_public/Query.do?docket=08-24")</f>
        <v>https://apps.fcc.gov/edocs_public/Query.do?docket=08-24</v>
      </c>
      <c r="E198" s="5" t="s">
        <v>1137</v>
      </c>
      <c r="F198" s="11">
        <v>186</v>
      </c>
      <c r="G198" s="11" t="s">
        <v>503</v>
      </c>
      <c r="H198" s="11" t="s">
        <v>492</v>
      </c>
    </row>
    <row r="199" spans="1:8" s="6" customFormat="1" ht="25.5">
      <c r="A199" s="5" t="s">
        <v>475</v>
      </c>
      <c r="B199" s="5" t="s">
        <v>533</v>
      </c>
      <c r="C199" s="16" t="str">
        <f>HYPERLINK("https://www.fcc.gov/ecfs/search/filings?proceedings_name=12-23&amp;sort=date_disseminated,DESC")</f>
        <v>https://www.fcc.gov/ecfs/search/filings?proceedings_name=12-23&amp;sort=date_disseminated,DESC</v>
      </c>
      <c r="D199" s="16" t="str">
        <f>HYPERLINK("https://apps.fcc.gov/edocs_public/Query.do?docket=12-23")</f>
        <v>https://apps.fcc.gov/edocs_public/Query.do?docket=12-23</v>
      </c>
      <c r="E199" s="5" t="s">
        <v>534</v>
      </c>
      <c r="F199" s="11">
        <v>478</v>
      </c>
      <c r="G199" s="11" t="s">
        <v>535</v>
      </c>
      <c r="H199" s="11" t="s">
        <v>536</v>
      </c>
    </row>
    <row r="200" spans="1:8" s="6" customFormat="1" ht="38.25">
      <c r="A200" s="5" t="s">
        <v>475</v>
      </c>
      <c r="B200" s="5" t="s">
        <v>476</v>
      </c>
      <c r="C200" s="16" t="str">
        <f>HYPERLINK("https://www.fcc.gov/ecfs/search/filings?proceedings_name=05-176&amp;sort=date_disseminated,DESC")</f>
        <v>https://www.fcc.gov/ecfs/search/filings?proceedings_name=05-176&amp;sort=date_disseminated,DESC</v>
      </c>
      <c r="D200" s="16" t="str">
        <f>HYPERLINK("https://apps.fcc.gov/edocs_public/Query.do?docket=05-176")</f>
        <v>https://apps.fcc.gov/edocs_public/Query.do?docket=05-176</v>
      </c>
      <c r="E200" s="5" t="s">
        <v>1138</v>
      </c>
      <c r="F200" s="11">
        <v>10</v>
      </c>
      <c r="G200" s="11" t="s">
        <v>477</v>
      </c>
      <c r="H200" s="11" t="s">
        <v>478</v>
      </c>
    </row>
    <row r="201" spans="1:8" s="6" customFormat="1" ht="38.25">
      <c r="A201" s="5" t="s">
        <v>475</v>
      </c>
      <c r="B201" s="5" t="s">
        <v>479</v>
      </c>
      <c r="C201" s="16" t="str">
        <f>HYPERLINK("https://www.fcc.gov/ecfs/search/filings?proceedings_name=05-281&amp;sort=date_disseminated,DESC")</f>
        <v>https://www.fcc.gov/ecfs/search/filings?proceedings_name=05-281&amp;sort=date_disseminated,DESC</v>
      </c>
      <c r="D201" s="16" t="str">
        <f>HYPERLINK("https://apps.fcc.gov/edocs_public/Query.do?docket=05-281")</f>
        <v>https://apps.fcc.gov/edocs_public/Query.do?docket=05-281</v>
      </c>
      <c r="E201" s="5" t="s">
        <v>1139</v>
      </c>
      <c r="F201" s="11">
        <v>293</v>
      </c>
      <c r="G201" s="11" t="s">
        <v>480</v>
      </c>
      <c r="H201" s="11" t="s">
        <v>481</v>
      </c>
    </row>
    <row r="202" spans="1:8" s="6" customFormat="1" ht="38.25">
      <c r="A202" s="5" t="s">
        <v>475</v>
      </c>
      <c r="B202" s="5" t="s">
        <v>485</v>
      </c>
      <c r="C202" s="16" t="str">
        <f>HYPERLINK("https://www.fcc.gov/ecfs/search/filings?proceedings_name=07-139&amp;sort=date_disseminated,DESC")</f>
        <v>https://www.fcc.gov/ecfs/search/filings?proceedings_name=07-139&amp;sort=date_disseminated,DESC</v>
      </c>
      <c r="D202" s="16" t="str">
        <f>HYPERLINK("https://apps.fcc.gov/edocs_public/Query.do?docket=07-139")</f>
        <v>https://apps.fcc.gov/edocs_public/Query.do?docket=07-139</v>
      </c>
      <c r="E202" s="5" t="s">
        <v>1141</v>
      </c>
      <c r="F202" s="11">
        <v>112</v>
      </c>
      <c r="G202" s="11" t="s">
        <v>486</v>
      </c>
      <c r="H202" s="11" t="s">
        <v>474</v>
      </c>
    </row>
    <row r="203" spans="1:8" s="6" customFormat="1" ht="25.5">
      <c r="A203" s="5" t="s">
        <v>475</v>
      </c>
      <c r="B203" s="5" t="s">
        <v>487</v>
      </c>
      <c r="C203" s="16" t="str">
        <f>HYPERLINK("https://www.fcc.gov/ecfs/search/filings?proceedings_name=07-142&amp;sort=date_disseminated,DESC")</f>
        <v>https://www.fcc.gov/ecfs/search/filings?proceedings_name=07-142&amp;sort=date_disseminated,DESC</v>
      </c>
      <c r="D203" s="16" t="str">
        <f>HYPERLINK("https://apps.fcc.gov/edocs_public/Query.do?docket=07-142")</f>
        <v>https://apps.fcc.gov/edocs_public/Query.do?docket=07-142</v>
      </c>
      <c r="E203" s="5" t="s">
        <v>1142</v>
      </c>
      <c r="F203" s="11">
        <v>4</v>
      </c>
      <c r="G203" s="11" t="s">
        <v>488</v>
      </c>
      <c r="H203" s="11" t="s">
        <v>489</v>
      </c>
    </row>
    <row r="204" spans="1:8" s="6" customFormat="1" ht="38.25">
      <c r="A204" s="5" t="s">
        <v>475</v>
      </c>
      <c r="B204" s="5" t="s">
        <v>497</v>
      </c>
      <c r="C204" s="16" t="str">
        <f>HYPERLINK("https://www.fcc.gov/ecfs/search/filings?proceedings_name=08-190&amp;sort=date_disseminated,DESC")</f>
        <v>https://www.fcc.gov/ecfs/search/filings?proceedings_name=08-190&amp;sort=date_disseminated,DESC</v>
      </c>
      <c r="D204" s="16" t="str">
        <f>HYPERLINK("https://apps.fcc.gov/edocs_public/Query.do?docket=08-190")</f>
        <v>https://apps.fcc.gov/edocs_public/Query.do?docket=08-190</v>
      </c>
      <c r="E204" s="5" t="s">
        <v>1143</v>
      </c>
      <c r="F204" s="11">
        <v>120</v>
      </c>
      <c r="G204" s="11" t="s">
        <v>498</v>
      </c>
      <c r="H204" s="11" t="s">
        <v>474</v>
      </c>
    </row>
    <row r="205" spans="1:8" s="6" customFormat="1" ht="38.25">
      <c r="A205" s="5" t="s">
        <v>475</v>
      </c>
      <c r="B205" s="5" t="s">
        <v>499</v>
      </c>
      <c r="C205" s="16" t="str">
        <f>HYPERLINK("https://www.fcc.gov/ecfs/search/filings?proceedings_name=08-225&amp;sort=date_disseminated,DESC")</f>
        <v>https://www.fcc.gov/ecfs/search/filings?proceedings_name=08-225&amp;sort=date_disseminated,DESC</v>
      </c>
      <c r="D205" s="16" t="str">
        <f>HYPERLINK("https://apps.fcc.gov/edocs_public/Query.do?docket=08-225")</f>
        <v>https://apps.fcc.gov/edocs_public/Query.do?docket=08-225</v>
      </c>
      <c r="E205" s="5" t="s">
        <v>500</v>
      </c>
      <c r="F205" s="11">
        <v>21</v>
      </c>
      <c r="G205" s="11" t="s">
        <v>501</v>
      </c>
      <c r="H205" s="11" t="s">
        <v>474</v>
      </c>
    </row>
    <row r="206" spans="1:8" s="6" customFormat="1" ht="25.5">
      <c r="A206" s="5" t="s">
        <v>475</v>
      </c>
      <c r="B206" s="5" t="s">
        <v>506</v>
      </c>
      <c r="C206" s="16" t="str">
        <f>HYPERLINK("https://www.fcc.gov/ecfs/search/filings?proceedings_name=09-135&amp;sort=date_disseminated,DESC")</f>
        <v>https://www.fcc.gov/ecfs/search/filings?proceedings_name=09-135&amp;sort=date_disseminated,DESC</v>
      </c>
      <c r="D206" s="16" t="str">
        <f>HYPERLINK("https://apps.fcc.gov/edocs_public/Query.do?docket=09-135")</f>
        <v>https://apps.fcc.gov/edocs_public/Query.do?docket=09-135</v>
      </c>
      <c r="E206" s="5" t="s">
        <v>1144</v>
      </c>
      <c r="F206" s="11">
        <v>145</v>
      </c>
      <c r="G206" s="11" t="s">
        <v>507</v>
      </c>
      <c r="H206" s="11" t="s">
        <v>508</v>
      </c>
    </row>
    <row r="207" spans="1:8" s="6" customFormat="1" ht="38.25">
      <c r="A207" s="5" t="s">
        <v>475</v>
      </c>
      <c r="B207" s="5" t="s">
        <v>509</v>
      </c>
      <c r="C207" s="16" t="str">
        <f>HYPERLINK("https://www.fcc.gov/ecfs/search/filings?proceedings_name=09-176&amp;sort=date_disseminated,DESC")</f>
        <v>https://www.fcc.gov/ecfs/search/filings?proceedings_name=09-176&amp;sort=date_disseminated,DESC</v>
      </c>
      <c r="D207" s="16" t="str">
        <f>HYPERLINK("https://apps.fcc.gov/edocs_public/Query.do?docket=09-176")</f>
        <v>https://apps.fcc.gov/edocs_public/Query.do?docket=09-176</v>
      </c>
      <c r="E207" s="5" t="s">
        <v>1145</v>
      </c>
      <c r="F207" s="11">
        <v>24</v>
      </c>
      <c r="G207" s="11" t="s">
        <v>484</v>
      </c>
      <c r="H207" s="11" t="s">
        <v>510</v>
      </c>
    </row>
    <row r="208" spans="1:8" s="6" customFormat="1" ht="25.5">
      <c r="A208" s="5" t="s">
        <v>475</v>
      </c>
      <c r="B208" s="5" t="s">
        <v>511</v>
      </c>
      <c r="C208" s="16" t="str">
        <f>HYPERLINK("https://www.fcc.gov/ecfs/search/filings?proceedings_name=09-206&amp;sort=date_disseminated,DESC")</f>
        <v>https://www.fcc.gov/ecfs/search/filings?proceedings_name=09-206&amp;sort=date_disseminated,DESC</v>
      </c>
      <c r="D208" s="16" t="str">
        <f>HYPERLINK("https://apps.fcc.gov/edocs_public/Query.do?docket=09-206")</f>
        <v>https://apps.fcc.gov/edocs_public/Query.do?docket=09-206</v>
      </c>
      <c r="E208" s="5" t="s">
        <v>1146</v>
      </c>
      <c r="F208" s="11">
        <v>10</v>
      </c>
      <c r="G208" s="11" t="s">
        <v>512</v>
      </c>
      <c r="H208" s="11" t="s">
        <v>474</v>
      </c>
    </row>
    <row r="209" spans="1:8" s="6" customFormat="1" ht="25.5">
      <c r="A209" s="5" t="s">
        <v>475</v>
      </c>
      <c r="B209" s="5" t="s">
        <v>516</v>
      </c>
      <c r="C209" s="16" t="str">
        <f>HYPERLINK("https://www.fcc.gov/ecfs/search/filings?proceedings_name=10-132&amp;sort=date_disseminated,DESC")</f>
        <v>https://www.fcc.gov/ecfs/search/filings?proceedings_name=10-132&amp;sort=date_disseminated,DESC</v>
      </c>
      <c r="D209" s="16" t="str">
        <f>HYPERLINK("https://apps.fcc.gov/edocs_public/Query.do?docket=10-132")</f>
        <v>https://apps.fcc.gov/edocs_public/Query.do?docket=10-132</v>
      </c>
      <c r="E209" s="5" t="s">
        <v>1147</v>
      </c>
      <c r="F209" s="11">
        <v>92</v>
      </c>
      <c r="G209" s="11" t="s">
        <v>517</v>
      </c>
      <c r="H209" s="11" t="s">
        <v>474</v>
      </c>
    </row>
    <row r="210" spans="1:8" s="6" customFormat="1" ht="25.5">
      <c r="A210" s="5" t="s">
        <v>475</v>
      </c>
      <c r="B210" s="5" t="s">
        <v>518</v>
      </c>
      <c r="C210" s="16" t="str">
        <f>HYPERLINK("https://www.fcc.gov/ecfs/search/filings?proceedings_name=10-222&amp;sort=date_disseminated,DESC")</f>
        <v>https://www.fcc.gov/ecfs/search/filings?proceedings_name=10-222&amp;sort=date_disseminated,DESC</v>
      </c>
      <c r="D210" s="16" t="str">
        <f>HYPERLINK("https://apps.fcc.gov/edocs_public/Query.do?docket=10-222")</f>
        <v>https://apps.fcc.gov/edocs_public/Query.do?docket=10-222</v>
      </c>
      <c r="E210" s="5" t="s">
        <v>1148</v>
      </c>
      <c r="F210" s="11">
        <v>130</v>
      </c>
      <c r="G210" s="11" t="s">
        <v>519</v>
      </c>
      <c r="H210" s="11" t="s">
        <v>162</v>
      </c>
    </row>
    <row r="211" spans="1:8" s="6" customFormat="1" ht="25.5">
      <c r="A211" s="5" t="s">
        <v>475</v>
      </c>
      <c r="B211" s="5" t="s">
        <v>529</v>
      </c>
      <c r="C211" s="16" t="str">
        <f>HYPERLINK("https://www.fcc.gov/ecfs/search/filings?proceedings_name=12-105&amp;sort=date_disseminated,DESC")</f>
        <v>https://www.fcc.gov/ecfs/search/filings?proceedings_name=12-105&amp;sort=date_disseminated,DESC</v>
      </c>
      <c r="D211" s="16" t="str">
        <f>HYPERLINK("https://apps.fcc.gov/edocs_public/Query.do?docket=12-105")</f>
        <v>https://apps.fcc.gov/edocs_public/Query.do?docket=12-105</v>
      </c>
      <c r="E211" s="5" t="s">
        <v>530</v>
      </c>
      <c r="F211" s="11">
        <v>16</v>
      </c>
      <c r="G211" s="11" t="s">
        <v>531</v>
      </c>
      <c r="H211" s="11" t="s">
        <v>532</v>
      </c>
    </row>
    <row r="212" spans="1:8" s="6" customFormat="1" ht="25.5">
      <c r="A212" s="5" t="s">
        <v>475</v>
      </c>
      <c r="B212" s="5" t="s">
        <v>540</v>
      </c>
      <c r="C212" s="16" t="str">
        <f>HYPERLINK("https://www.fcc.gov/ecfs/search/filings?proceedings_name=13-152&amp;sort=date_disseminated,DESC")</f>
        <v>https://www.fcc.gov/ecfs/search/filings?proceedings_name=13-152&amp;sort=date_disseminated,DESC</v>
      </c>
      <c r="D212" s="16" t="str">
        <f>HYPERLINK("https://apps.fcc.gov/edocs_public/Query.do?docket=13-152")</f>
        <v>https://apps.fcc.gov/edocs_public/Query.do?docket=13-152</v>
      </c>
      <c r="E212" s="5" t="s">
        <v>541</v>
      </c>
      <c r="F212" s="11">
        <v>12</v>
      </c>
      <c r="G212" s="11" t="s">
        <v>542</v>
      </c>
      <c r="H212" s="11" t="s">
        <v>543</v>
      </c>
    </row>
    <row r="213" spans="1:8" s="6" customFormat="1" ht="25.5">
      <c r="A213" s="5" t="s">
        <v>475</v>
      </c>
      <c r="B213" s="5" t="s">
        <v>544</v>
      </c>
      <c r="C213" s="16" t="str">
        <f>HYPERLINK("https://www.fcc.gov/ecfs/search/filings?proceedings_name=13-187&amp;sort=date_disseminated,DESC")</f>
        <v>https://www.fcc.gov/ecfs/search/filings?proceedings_name=13-187&amp;sort=date_disseminated,DESC</v>
      </c>
      <c r="D213" s="16" t="str">
        <f>HYPERLINK("https://apps.fcc.gov/edocs_public/Query.do?docket=13-187")</f>
        <v>https://apps.fcc.gov/edocs_public/Query.do?docket=13-187</v>
      </c>
      <c r="E213" s="5" t="s">
        <v>1102</v>
      </c>
      <c r="F213" s="11">
        <v>25</v>
      </c>
      <c r="G213" s="11" t="s">
        <v>545</v>
      </c>
      <c r="H213" s="11" t="s">
        <v>428</v>
      </c>
    </row>
    <row r="214" spans="1:8" s="6" customFormat="1" ht="12.75">
      <c r="A214" s="5" t="s">
        <v>475</v>
      </c>
      <c r="B214" s="5" t="s">
        <v>547</v>
      </c>
      <c r="C214" s="16" t="str">
        <f>HYPERLINK("https://www.fcc.gov/ecfs/search/filings?proceedings_name=13-267&amp;sort=date_disseminated,DESC")</f>
        <v>https://www.fcc.gov/ecfs/search/filings?proceedings_name=13-267&amp;sort=date_disseminated,DESC</v>
      </c>
      <c r="D214" s="16" t="str">
        <f>HYPERLINK("https://apps.fcc.gov/edocs_public/Query.do?docket=13-267")</f>
        <v>https://apps.fcc.gov/edocs_public/Query.do?docket=13-267</v>
      </c>
      <c r="E214" s="5" t="s">
        <v>548</v>
      </c>
      <c r="F214" s="11">
        <v>3</v>
      </c>
      <c r="G214" s="11" t="s">
        <v>549</v>
      </c>
      <c r="H214" s="11" t="s">
        <v>550</v>
      </c>
    </row>
    <row r="215" spans="1:8" s="6" customFormat="1" ht="12.75">
      <c r="A215" s="5" t="s">
        <v>475</v>
      </c>
      <c r="B215" s="5" t="s">
        <v>551</v>
      </c>
      <c r="C215" s="16" t="str">
        <f>HYPERLINK("https://www.fcc.gov/ecfs/search/filings?proceedings_name=13-278&amp;sort=date_disseminated,DESC")</f>
        <v>https://www.fcc.gov/ecfs/search/filings?proceedings_name=13-278&amp;sort=date_disseminated,DESC</v>
      </c>
      <c r="D215" s="16" t="str">
        <f>HYPERLINK("https://apps.fcc.gov/edocs_public/Query.do?docket=13-278")</f>
        <v>https://apps.fcc.gov/edocs_public/Query.do?docket=13-278</v>
      </c>
      <c r="E215" s="5" t="s">
        <v>552</v>
      </c>
      <c r="F215" s="11">
        <v>7</v>
      </c>
      <c r="G215" s="11" t="s">
        <v>423</v>
      </c>
      <c r="H215" s="11" t="s">
        <v>553</v>
      </c>
    </row>
    <row r="216" spans="1:8" s="6" customFormat="1" ht="25.5">
      <c r="A216" s="5" t="s">
        <v>475</v>
      </c>
      <c r="B216" s="5" t="s">
        <v>554</v>
      </c>
      <c r="C216" s="16" t="str">
        <f>HYPERLINK("https://www.fcc.gov/ecfs/search/filings?proceedings_name=13-298&amp;sort=date_disseminated,DESC")</f>
        <v>https://www.fcc.gov/ecfs/search/filings?proceedings_name=13-298&amp;sort=date_disseminated,DESC</v>
      </c>
      <c r="D216" s="16" t="str">
        <f>HYPERLINK("https://apps.fcc.gov/edocs_public/Query.do?docket=13-298")</f>
        <v>https://apps.fcc.gov/edocs_public/Query.do?docket=13-298</v>
      </c>
      <c r="E216" s="5" t="s">
        <v>555</v>
      </c>
      <c r="F216" s="11">
        <v>18</v>
      </c>
      <c r="G216" s="11" t="s">
        <v>556</v>
      </c>
      <c r="H216" s="11" t="s">
        <v>12</v>
      </c>
    </row>
    <row r="217" spans="1:8" s="6" customFormat="1" ht="12.75">
      <c r="A217" s="5" t="s">
        <v>475</v>
      </c>
      <c r="B217" s="5" t="s">
        <v>557</v>
      </c>
      <c r="C217" s="16" t="str">
        <f>HYPERLINK("https://www.fcc.gov/ecfs/search/filings?proceedings_name=14-115&amp;sort=date_disseminated,DESC")</f>
        <v>https://www.fcc.gov/ecfs/search/filings?proceedings_name=14-115&amp;sort=date_disseminated,DESC</v>
      </c>
      <c r="D217" s="16" t="str">
        <f>HYPERLINK("https://apps.fcc.gov/edocs_public/Query.do?docket=14-115")</f>
        <v>https://apps.fcc.gov/edocs_public/Query.do?docket=14-115</v>
      </c>
      <c r="E217" s="5" t="s">
        <v>558</v>
      </c>
      <c r="F217" s="11">
        <v>172</v>
      </c>
      <c r="G217" s="11" t="s">
        <v>559</v>
      </c>
      <c r="H217" s="11" t="s">
        <v>474</v>
      </c>
    </row>
    <row r="218" spans="1:8" s="6" customFormat="1" ht="12.75">
      <c r="A218" s="5" t="s">
        <v>475</v>
      </c>
      <c r="B218" s="5" t="s">
        <v>560</v>
      </c>
      <c r="C218" s="16" t="str">
        <f>HYPERLINK("https://www.fcc.gov/ecfs/search/filings?proceedings_name=14-116&amp;sort=date_disseminated,DESC")</f>
        <v>https://www.fcc.gov/ecfs/search/filings?proceedings_name=14-116&amp;sort=date_disseminated,DESC</v>
      </c>
      <c r="D218" s="16" t="str">
        <f>HYPERLINK("https://apps.fcc.gov/edocs_public/Query.do?docket=14-116")</f>
        <v>https://apps.fcc.gov/edocs_public/Query.do?docket=14-116</v>
      </c>
      <c r="E218" s="5" t="s">
        <v>561</v>
      </c>
      <c r="F218" s="11">
        <v>184</v>
      </c>
      <c r="G218" s="11" t="s">
        <v>559</v>
      </c>
      <c r="H218" s="11" t="s">
        <v>474</v>
      </c>
    </row>
    <row r="219" spans="1:8" s="6" customFormat="1" ht="25.5">
      <c r="A219" s="5" t="s">
        <v>475</v>
      </c>
      <c r="B219" s="5" t="s">
        <v>562</v>
      </c>
      <c r="C219" s="16" t="str">
        <f>HYPERLINK("https://www.fcc.gov/ecfs/search/filings?proceedings_name=14-134&amp;sort=date_disseminated,DESC")</f>
        <v>https://www.fcc.gov/ecfs/search/filings?proceedings_name=14-134&amp;sort=date_disseminated,DESC</v>
      </c>
      <c r="D219" s="16" t="str">
        <f>HYPERLINK("https://apps.fcc.gov/edocs_public/Query.do?docket=14-134")</f>
        <v>https://apps.fcc.gov/edocs_public/Query.do?docket=14-134</v>
      </c>
      <c r="E219" s="5" t="s">
        <v>563</v>
      </c>
      <c r="F219" s="11">
        <v>13</v>
      </c>
      <c r="G219" s="11" t="s">
        <v>564</v>
      </c>
      <c r="H219" s="11" t="s">
        <v>565</v>
      </c>
    </row>
    <row r="220" spans="1:8" s="6" customFormat="1" ht="12.75">
      <c r="A220" s="5" t="s">
        <v>475</v>
      </c>
      <c r="B220" s="5" t="s">
        <v>566</v>
      </c>
      <c r="C220" s="16" t="str">
        <f>HYPERLINK("https://www.fcc.gov/ecfs/search/filings?proceedings_name=14-224&amp;sort=date_disseminated,DESC")</f>
        <v>https://www.fcc.gov/ecfs/search/filings?proceedings_name=14-224&amp;sort=date_disseminated,DESC</v>
      </c>
      <c r="D220" s="16" t="str">
        <f>HYPERLINK("https://apps.fcc.gov/edocs_public/Query.do?docket=14-224")</f>
        <v>https://apps.fcc.gov/edocs_public/Query.do?docket=14-224</v>
      </c>
      <c r="E220" s="5" t="s">
        <v>567</v>
      </c>
      <c r="F220" s="11">
        <v>6</v>
      </c>
      <c r="G220" s="11" t="s">
        <v>195</v>
      </c>
      <c r="H220" s="11" t="s">
        <v>199</v>
      </c>
    </row>
    <row r="221" spans="1:8" s="6" customFormat="1" ht="25.5">
      <c r="A221" s="5" t="s">
        <v>475</v>
      </c>
      <c r="B221" s="5" t="s">
        <v>568</v>
      </c>
      <c r="C221" s="16" t="str">
        <f>HYPERLINK("https://www.fcc.gov/ecfs/search/filings?proceedings_name=14-230&amp;sort=date_disseminated,DESC")</f>
        <v>https://www.fcc.gov/ecfs/search/filings?proceedings_name=14-230&amp;sort=date_disseminated,DESC</v>
      </c>
      <c r="D221" s="16" t="str">
        <f>HYPERLINK("https://apps.fcc.gov/edocs_public/Query.do?docket=14-230")</f>
        <v>https://apps.fcc.gov/edocs_public/Query.do?docket=14-230</v>
      </c>
      <c r="E221" s="5" t="s">
        <v>569</v>
      </c>
      <c r="F221" s="11">
        <v>3</v>
      </c>
      <c r="G221" s="11" t="s">
        <v>528</v>
      </c>
      <c r="H221" s="11" t="s">
        <v>546</v>
      </c>
    </row>
    <row r="222" spans="1:8" s="6" customFormat="1" ht="25.5">
      <c r="A222" s="5" t="s">
        <v>475</v>
      </c>
      <c r="B222" s="5" t="s">
        <v>570</v>
      </c>
      <c r="C222" s="16" t="str">
        <f>HYPERLINK("https://www.fcc.gov/ecfs/search/filings?proceedings_name=14-231&amp;sort=date_disseminated,DESC")</f>
        <v>https://www.fcc.gov/ecfs/search/filings?proceedings_name=14-231&amp;sort=date_disseminated,DESC</v>
      </c>
      <c r="D222" s="16" t="str">
        <f>HYPERLINK("https://apps.fcc.gov/edocs_public/Query.do?docket=14-231")</f>
        <v>https://apps.fcc.gov/edocs_public/Query.do?docket=14-231</v>
      </c>
      <c r="E222" s="5" t="s">
        <v>569</v>
      </c>
      <c r="F222" s="11">
        <v>3</v>
      </c>
      <c r="G222" s="11" t="s">
        <v>528</v>
      </c>
      <c r="H222" s="11" t="s">
        <v>546</v>
      </c>
    </row>
    <row r="223" spans="1:8" s="6" customFormat="1" ht="25.5">
      <c r="A223" s="5" t="s">
        <v>475</v>
      </c>
      <c r="B223" s="5" t="s">
        <v>571</v>
      </c>
      <c r="C223" s="16" t="str">
        <f>HYPERLINK("https://www.fcc.gov/ecfs/search/filings?proceedings_name=14-232&amp;sort=date_disseminated,DESC")</f>
        <v>https://www.fcc.gov/ecfs/search/filings?proceedings_name=14-232&amp;sort=date_disseminated,DESC</v>
      </c>
      <c r="D223" s="16" t="str">
        <f>HYPERLINK("https://apps.fcc.gov/edocs_public/Query.do?docket=14-232")</f>
        <v>https://apps.fcc.gov/edocs_public/Query.do?docket=14-232</v>
      </c>
      <c r="E223" s="5" t="s">
        <v>569</v>
      </c>
      <c r="F223" s="11">
        <v>2</v>
      </c>
      <c r="G223" s="11" t="s">
        <v>528</v>
      </c>
      <c r="H223" s="11" t="s">
        <v>546</v>
      </c>
    </row>
    <row r="224" spans="1:8" s="6" customFormat="1" ht="25.5">
      <c r="A224" s="5" t="s">
        <v>475</v>
      </c>
      <c r="B224" s="5" t="s">
        <v>572</v>
      </c>
      <c r="C224" s="16" t="str">
        <f>HYPERLINK("https://www.fcc.gov/ecfs/search/filings?proceedings_name=14-233&amp;sort=date_disseminated,DESC")</f>
        <v>https://www.fcc.gov/ecfs/search/filings?proceedings_name=14-233&amp;sort=date_disseminated,DESC</v>
      </c>
      <c r="D224" s="16" t="str">
        <f>HYPERLINK("https://apps.fcc.gov/edocs_public/Query.do?docket=14-233")</f>
        <v>https://apps.fcc.gov/edocs_public/Query.do?docket=14-233</v>
      </c>
      <c r="E224" s="5" t="s">
        <v>569</v>
      </c>
      <c r="F224" s="11">
        <v>2</v>
      </c>
      <c r="G224" s="11" t="s">
        <v>528</v>
      </c>
      <c r="H224" s="11" t="s">
        <v>546</v>
      </c>
    </row>
    <row r="225" spans="1:8" s="6" customFormat="1" ht="12.75">
      <c r="A225" s="5" t="s">
        <v>475</v>
      </c>
      <c r="B225" s="5" t="s">
        <v>573</v>
      </c>
      <c r="C225" s="16" t="str">
        <f>HYPERLINK("https://www.fcc.gov/ecfs/search/filings?proceedings_name=14-239&amp;sort=date_disseminated,DESC")</f>
        <v>https://www.fcc.gov/ecfs/search/filings?proceedings_name=14-239&amp;sort=date_disseminated,DESC</v>
      </c>
      <c r="D225" s="16" t="str">
        <f>HYPERLINK("https://apps.fcc.gov/edocs_public/Query.do?docket=14-239")</f>
        <v>https://apps.fcc.gov/edocs_public/Query.do?docket=14-239</v>
      </c>
      <c r="E225" s="5" t="s">
        <v>574</v>
      </c>
      <c r="F225" s="11">
        <v>2</v>
      </c>
      <c r="G225" s="11" t="s">
        <v>546</v>
      </c>
      <c r="H225" s="11" t="s">
        <v>575</v>
      </c>
    </row>
    <row r="226" spans="1:8" s="6" customFormat="1" ht="25.5">
      <c r="A226" s="5" t="s">
        <v>475</v>
      </c>
      <c r="B226" s="5" t="s">
        <v>576</v>
      </c>
      <c r="C226" s="16" t="str">
        <f>HYPERLINK("https://www.fcc.gov/ecfs/search/filings?proceedings_name=14-242&amp;sort=date_disseminated,DESC")</f>
        <v>https://www.fcc.gov/ecfs/search/filings?proceedings_name=14-242&amp;sort=date_disseminated,DESC</v>
      </c>
      <c r="D226" s="16" t="str">
        <f>HYPERLINK("https://apps.fcc.gov/edocs_public/Query.do?docket=14-242")</f>
        <v>https://apps.fcc.gov/edocs_public/Query.do?docket=14-242</v>
      </c>
      <c r="E226" s="5" t="s">
        <v>577</v>
      </c>
      <c r="F226" s="11">
        <v>4</v>
      </c>
      <c r="G226" s="11" t="s">
        <v>277</v>
      </c>
      <c r="H226" s="11" t="s">
        <v>233</v>
      </c>
    </row>
    <row r="227" spans="1:8" s="6" customFormat="1" ht="25.5">
      <c r="A227" s="5" t="s">
        <v>475</v>
      </c>
      <c r="B227" s="5" t="s">
        <v>578</v>
      </c>
      <c r="C227" s="16" t="str">
        <f>HYPERLINK("https://www.fcc.gov/ecfs/search/filings?proceedings_name=14-244&amp;sort=date_disseminated,DESC")</f>
        <v>https://www.fcc.gov/ecfs/search/filings?proceedings_name=14-244&amp;sort=date_disseminated,DESC</v>
      </c>
      <c r="D227" s="16" t="str">
        <f>HYPERLINK("https://apps.fcc.gov/edocs_public/Query.do?docket=14-244")</f>
        <v>https://apps.fcc.gov/edocs_public/Query.do?docket=14-244</v>
      </c>
      <c r="E227" s="5" t="s">
        <v>579</v>
      </c>
      <c r="F227" s="11">
        <v>2</v>
      </c>
      <c r="G227" s="11" t="s">
        <v>277</v>
      </c>
      <c r="H227" s="11" t="s">
        <v>23</v>
      </c>
    </row>
    <row r="228" spans="1:8" s="6" customFormat="1" ht="12.75">
      <c r="A228" s="5" t="s">
        <v>475</v>
      </c>
      <c r="B228" s="5" t="s">
        <v>580</v>
      </c>
      <c r="C228" s="16" t="str">
        <f>HYPERLINK("https://www.fcc.gov/ecfs/search/filings?proceedings_name=14-248&amp;sort=date_disseminated,DESC")</f>
        <v>https://www.fcc.gov/ecfs/search/filings?proceedings_name=14-248&amp;sort=date_disseminated,DESC</v>
      </c>
      <c r="D228" s="16" t="str">
        <f>HYPERLINK("https://apps.fcc.gov/edocs_public/Query.do?docket=14-248")</f>
        <v>https://apps.fcc.gov/edocs_public/Query.do?docket=14-248</v>
      </c>
      <c r="E228" s="5" t="s">
        <v>581</v>
      </c>
      <c r="F228" s="11">
        <v>5</v>
      </c>
      <c r="G228" s="11" t="s">
        <v>23</v>
      </c>
      <c r="H228" s="11" t="s">
        <v>188</v>
      </c>
    </row>
    <row r="229" spans="1:8" s="6" customFormat="1" ht="25.5">
      <c r="A229" s="5" t="s">
        <v>475</v>
      </c>
      <c r="B229" s="5" t="s">
        <v>582</v>
      </c>
      <c r="C229" s="16" t="str">
        <f>HYPERLINK("https://www.fcc.gov/ecfs/search/filings?proceedings_name=14-249&amp;sort=date_disseminated,DESC")</f>
        <v>https://www.fcc.gov/ecfs/search/filings?proceedings_name=14-249&amp;sort=date_disseminated,DESC</v>
      </c>
      <c r="D229" s="16" t="str">
        <f>HYPERLINK("https://apps.fcc.gov/edocs_public/Query.do?docket=14-249")</f>
        <v>https://apps.fcc.gov/edocs_public/Query.do?docket=14-249</v>
      </c>
      <c r="E229" s="5" t="s">
        <v>583</v>
      </c>
      <c r="F229" s="11">
        <v>2</v>
      </c>
      <c r="G229" s="11" t="s">
        <v>23</v>
      </c>
      <c r="H229" s="11" t="s">
        <v>584</v>
      </c>
    </row>
    <row r="230" spans="1:8" s="6" customFormat="1" ht="25.5">
      <c r="A230" s="5" t="s">
        <v>475</v>
      </c>
      <c r="B230" s="5" t="s">
        <v>585</v>
      </c>
      <c r="C230" s="16" t="str">
        <f>HYPERLINK("https://www.fcc.gov/ecfs/search/filings?proceedings_name=14-251&amp;sort=date_disseminated,DESC")</f>
        <v>https://www.fcc.gov/ecfs/search/filings?proceedings_name=14-251&amp;sort=date_disseminated,DESC</v>
      </c>
      <c r="D230" s="16" t="str">
        <f>HYPERLINK("https://apps.fcc.gov/edocs_public/Query.do?docket=14-251")</f>
        <v>https://apps.fcc.gov/edocs_public/Query.do?docket=14-251</v>
      </c>
      <c r="E230" s="5" t="s">
        <v>586</v>
      </c>
      <c r="F230" s="11">
        <v>2</v>
      </c>
      <c r="G230" s="11" t="s">
        <v>584</v>
      </c>
      <c r="H230" s="11" t="s">
        <v>71</v>
      </c>
    </row>
    <row r="231" spans="1:8" s="6" customFormat="1" ht="25.5">
      <c r="A231" s="5" t="s">
        <v>475</v>
      </c>
      <c r="B231" s="5" t="s">
        <v>587</v>
      </c>
      <c r="C231" s="16" t="str">
        <f>HYPERLINK("https://www.fcc.gov/ecfs/search/filings?proceedings_name=14-264&amp;sort=date_disseminated,DESC")</f>
        <v>https://www.fcc.gov/ecfs/search/filings?proceedings_name=14-264&amp;sort=date_disseminated,DESC</v>
      </c>
      <c r="D231" s="16" t="str">
        <f>HYPERLINK("https://apps.fcc.gov/edocs_public/Query.do?docket=14-264")</f>
        <v>https://apps.fcc.gov/edocs_public/Query.do?docket=14-264</v>
      </c>
      <c r="E231" s="5" t="s">
        <v>588</v>
      </c>
      <c r="F231" s="11">
        <v>2</v>
      </c>
      <c r="G231" s="11" t="s">
        <v>198</v>
      </c>
      <c r="H231" s="11" t="s">
        <v>589</v>
      </c>
    </row>
    <row r="232" spans="1:8" s="6" customFormat="1" ht="25.5">
      <c r="A232" s="5" t="s">
        <v>475</v>
      </c>
      <c r="B232" s="5" t="s">
        <v>590</v>
      </c>
      <c r="C232" s="16" t="str">
        <f>HYPERLINK("https://www.fcc.gov/ecfs/search/filings?proceedings_name=14-266&amp;sort=date_disseminated,DESC")</f>
        <v>https://www.fcc.gov/ecfs/search/filings?proceedings_name=14-266&amp;sort=date_disseminated,DESC</v>
      </c>
      <c r="D232" s="16" t="str">
        <f>HYPERLINK("https://apps.fcc.gov/edocs_public/Query.do?docket=14-266")</f>
        <v>https://apps.fcc.gov/edocs_public/Query.do?docket=14-266</v>
      </c>
      <c r="E232" s="5" t="s">
        <v>588</v>
      </c>
      <c r="F232" s="11">
        <v>4</v>
      </c>
      <c r="G232" s="11" t="s">
        <v>198</v>
      </c>
      <c r="H232" s="11" t="s">
        <v>591</v>
      </c>
    </row>
    <row r="233" spans="1:8" s="6" customFormat="1" ht="25.5">
      <c r="A233" s="5" t="s">
        <v>475</v>
      </c>
      <c r="B233" s="5" t="s">
        <v>592</v>
      </c>
      <c r="C233" s="16" t="str">
        <f>HYPERLINK("https://www.fcc.gov/ecfs/search/filings?proceedings_name=14-269&amp;sort=date_disseminated,DESC")</f>
        <v>https://www.fcc.gov/ecfs/search/filings?proceedings_name=14-269&amp;sort=date_disseminated,DESC</v>
      </c>
      <c r="D233" s="16" t="str">
        <f>HYPERLINK("https://apps.fcc.gov/edocs_public/Query.do?docket=14-269")</f>
        <v>https://apps.fcc.gov/edocs_public/Query.do?docket=14-269</v>
      </c>
      <c r="E233" s="5" t="s">
        <v>593</v>
      </c>
      <c r="F233" s="11">
        <v>9</v>
      </c>
      <c r="G233" s="11" t="s">
        <v>594</v>
      </c>
      <c r="H233" s="11" t="s">
        <v>595</v>
      </c>
    </row>
    <row r="234" spans="1:8" s="6" customFormat="1" ht="25.5">
      <c r="A234" s="5" t="s">
        <v>475</v>
      </c>
      <c r="B234" s="5" t="s">
        <v>597</v>
      </c>
      <c r="C234" s="16" t="str">
        <f>HYPERLINK("https://www.fcc.gov/ecfs/search/filings?proceedings_name=14-52&amp;sort=date_disseminated,DESC")</f>
        <v>https://www.fcc.gov/ecfs/search/filings?proceedings_name=14-52&amp;sort=date_disseminated,DESC</v>
      </c>
      <c r="D234" s="16" t="str">
        <f>HYPERLINK("https://apps.fcc.gov/edocs_public/Query.do?docket=14-52")</f>
        <v>https://apps.fcc.gov/edocs_public/Query.do?docket=14-52</v>
      </c>
      <c r="E234" s="5" t="s">
        <v>598</v>
      </c>
      <c r="F234" s="11">
        <v>29</v>
      </c>
      <c r="G234" s="11" t="s">
        <v>599</v>
      </c>
      <c r="H234" s="11" t="s">
        <v>138</v>
      </c>
    </row>
    <row r="235" spans="1:8" s="6" customFormat="1" ht="12.75">
      <c r="A235" s="5" t="s">
        <v>475</v>
      </c>
      <c r="B235" s="5" t="s">
        <v>600</v>
      </c>
      <c r="C235" s="16" t="str">
        <f>HYPERLINK("https://www.fcc.gov/ecfs/search/filings?proceedings_name=14-63&amp;sort=date_disseminated,DESC")</f>
        <v>https://www.fcc.gov/ecfs/search/filings?proceedings_name=14-63&amp;sort=date_disseminated,DESC</v>
      </c>
      <c r="D235" s="16" t="str">
        <f>HYPERLINK("https://apps.fcc.gov/edocs_public/Query.do?docket=14-63")</f>
        <v>https://apps.fcc.gov/edocs_public/Query.do?docket=14-63</v>
      </c>
      <c r="E235" s="5" t="s">
        <v>601</v>
      </c>
      <c r="F235" s="11">
        <v>9</v>
      </c>
      <c r="G235" s="11" t="s">
        <v>421</v>
      </c>
      <c r="H235" s="11" t="s">
        <v>602</v>
      </c>
    </row>
    <row r="236" spans="1:8" s="6" customFormat="1" ht="12.75">
      <c r="A236" s="5" t="s">
        <v>475</v>
      </c>
      <c r="B236" s="5" t="s">
        <v>603</v>
      </c>
      <c r="C236" s="16" t="str">
        <f>HYPERLINK("https://www.fcc.gov/ecfs/search/filings?proceedings_name=15-100&amp;sort=date_disseminated,DESC")</f>
        <v>https://www.fcc.gov/ecfs/search/filings?proceedings_name=15-100&amp;sort=date_disseminated,DESC</v>
      </c>
      <c r="D236" s="16" t="str">
        <f>HYPERLINK("https://apps.fcc.gov/edocs_public/Query.do?docket=15-100")</f>
        <v>https://apps.fcc.gov/edocs_public/Query.do?docket=15-100</v>
      </c>
      <c r="E236" s="5" t="s">
        <v>604</v>
      </c>
      <c r="F236" s="11">
        <v>3</v>
      </c>
      <c r="G236" s="11" t="s">
        <v>605</v>
      </c>
      <c r="H236" s="11" t="s">
        <v>606</v>
      </c>
    </row>
    <row r="237" spans="1:8" s="6" customFormat="1" ht="38.25">
      <c r="A237" s="5" t="s">
        <v>475</v>
      </c>
      <c r="B237" s="5" t="s">
        <v>607</v>
      </c>
      <c r="C237" s="16" t="str">
        <f>HYPERLINK("https://www.fcc.gov/ecfs/search/filings?proceedings_name=15-112&amp;sort=date_disseminated,DESC")</f>
        <v>https://www.fcc.gov/ecfs/search/filings?proceedings_name=15-112&amp;sort=date_disseminated,DESC</v>
      </c>
      <c r="D237" s="16" t="str">
        <f>HYPERLINK("https://apps.fcc.gov/edocs_public/Query.do?docket=15-112")</f>
        <v>https://apps.fcc.gov/edocs_public/Query.do?docket=15-112</v>
      </c>
      <c r="E237" s="5" t="s">
        <v>1149</v>
      </c>
      <c r="F237" s="11">
        <v>5</v>
      </c>
      <c r="G237" s="11" t="s">
        <v>608</v>
      </c>
      <c r="H237" s="11" t="s">
        <v>609</v>
      </c>
    </row>
    <row r="238" spans="1:8" s="6" customFormat="1" ht="25.5">
      <c r="A238" s="5" t="s">
        <v>475</v>
      </c>
      <c r="B238" s="5" t="s">
        <v>610</v>
      </c>
      <c r="C238" s="16" t="str">
        <f>HYPERLINK("https://www.fcc.gov/ecfs/search/filings?proceedings_name=15-113&amp;sort=date_disseminated,DESC")</f>
        <v>https://www.fcc.gov/ecfs/search/filings?proceedings_name=15-113&amp;sort=date_disseminated,DESC</v>
      </c>
      <c r="D238" s="16" t="str">
        <f>HYPERLINK("https://apps.fcc.gov/edocs_public/Query.do?docket=15-113")</f>
        <v>https://apps.fcc.gov/edocs_public/Query.do?docket=15-113</v>
      </c>
      <c r="E238" s="5" t="s">
        <v>611</v>
      </c>
      <c r="F238" s="11">
        <v>4</v>
      </c>
      <c r="G238" s="11" t="s">
        <v>612</v>
      </c>
      <c r="H238" s="11" t="s">
        <v>613</v>
      </c>
    </row>
    <row r="239" spans="1:8" s="6" customFormat="1" ht="25.5">
      <c r="A239" s="5" t="s">
        <v>475</v>
      </c>
      <c r="B239" s="5" t="s">
        <v>614</v>
      </c>
      <c r="C239" s="16" t="str">
        <f>HYPERLINK("https://www.fcc.gov/ecfs/search/filings?proceedings_name=15-116&amp;sort=date_disseminated,DESC")</f>
        <v>https://www.fcc.gov/ecfs/search/filings?proceedings_name=15-116&amp;sort=date_disseminated,DESC</v>
      </c>
      <c r="D239" s="16" t="str">
        <f>HYPERLINK("https://apps.fcc.gov/edocs_public/Query.do?docket=15-116")</f>
        <v>https://apps.fcc.gov/edocs_public/Query.do?docket=15-116</v>
      </c>
      <c r="E239" s="5" t="s">
        <v>615</v>
      </c>
      <c r="F239" s="11">
        <v>2</v>
      </c>
      <c r="G239" s="11" t="s">
        <v>138</v>
      </c>
      <c r="H239" s="11" t="s">
        <v>616</v>
      </c>
    </row>
    <row r="240" spans="1:8" s="6" customFormat="1" ht="25.5">
      <c r="A240" s="5" t="s">
        <v>475</v>
      </c>
      <c r="B240" s="5" t="s">
        <v>617</v>
      </c>
      <c r="C240" s="16" t="str">
        <f>HYPERLINK("https://www.fcc.gov/ecfs/search/filings?proceedings_name=15-117&amp;sort=date_disseminated,DESC")</f>
        <v>https://www.fcc.gov/ecfs/search/filings?proceedings_name=15-117&amp;sort=date_disseminated,DESC</v>
      </c>
      <c r="D240" s="16" t="str">
        <f>HYPERLINK("https://apps.fcc.gov/edocs_public/Query.do?docket=15-117")</f>
        <v>https://apps.fcc.gov/edocs_public/Query.do?docket=15-117</v>
      </c>
      <c r="E240" s="5" t="s">
        <v>618</v>
      </c>
      <c r="F240" s="11">
        <v>2</v>
      </c>
      <c r="G240" s="11" t="s">
        <v>443</v>
      </c>
      <c r="H240" s="11" t="s">
        <v>443</v>
      </c>
    </row>
    <row r="241" spans="1:8" s="6" customFormat="1" ht="25.5">
      <c r="A241" s="5" t="s">
        <v>475</v>
      </c>
      <c r="B241" s="5" t="s">
        <v>619</v>
      </c>
      <c r="C241" s="16" t="str">
        <f>HYPERLINK("https://www.fcc.gov/ecfs/search/filings?proceedings_name=15-122&amp;sort=date_disseminated,DESC")</f>
        <v>https://www.fcc.gov/ecfs/search/filings?proceedings_name=15-122&amp;sort=date_disseminated,DESC</v>
      </c>
      <c r="D241" s="16" t="str">
        <f>HYPERLINK("https://apps.fcc.gov/edocs_public/Query.do?docket=15-122")</f>
        <v>https://apps.fcc.gov/edocs_public/Query.do?docket=15-122</v>
      </c>
      <c r="E241" s="5" t="s">
        <v>620</v>
      </c>
      <c r="F241" s="11">
        <v>2</v>
      </c>
      <c r="G241" s="11" t="s">
        <v>621</v>
      </c>
      <c r="H241" s="11" t="s">
        <v>606</v>
      </c>
    </row>
    <row r="242" spans="1:8" s="6" customFormat="1" ht="38.25">
      <c r="A242" s="5" t="s">
        <v>475</v>
      </c>
      <c r="B242" s="5" t="s">
        <v>622</v>
      </c>
      <c r="C242" s="16" t="str">
        <f>HYPERLINK("https://www.fcc.gov/ecfs/search/filings?proceedings_name=15-123&amp;sort=date_disseminated,DESC")</f>
        <v>https://www.fcc.gov/ecfs/search/filings?proceedings_name=15-123&amp;sort=date_disseminated,DESC</v>
      </c>
      <c r="D242" s="16" t="str">
        <f>HYPERLINK("https://apps.fcc.gov/edocs_public/Query.do?docket=15-123")</f>
        <v>https://apps.fcc.gov/edocs_public/Query.do?docket=15-123</v>
      </c>
      <c r="E242" s="5" t="s">
        <v>623</v>
      </c>
      <c r="F242" s="11">
        <v>5</v>
      </c>
      <c r="G242" s="11" t="s">
        <v>624</v>
      </c>
      <c r="H242" s="11" t="s">
        <v>27</v>
      </c>
    </row>
    <row r="243" spans="1:8" s="6" customFormat="1" ht="25.5">
      <c r="A243" s="5" t="s">
        <v>475</v>
      </c>
      <c r="B243" s="5" t="s">
        <v>625</v>
      </c>
      <c r="C243" s="16" t="str">
        <f>HYPERLINK("https://www.fcc.gov/ecfs/search/filings?proceedings_name=15-124&amp;sort=date_disseminated,DESC")</f>
        <v>https://www.fcc.gov/ecfs/search/filings?proceedings_name=15-124&amp;sort=date_disseminated,DESC</v>
      </c>
      <c r="D243" s="16" t="str">
        <f>HYPERLINK("https://apps.fcc.gov/edocs_public/Query.do?docket=15-124")</f>
        <v>https://apps.fcc.gov/edocs_public/Query.do?docket=15-124</v>
      </c>
      <c r="E243" s="5" t="s">
        <v>626</v>
      </c>
      <c r="F243" s="11">
        <v>3</v>
      </c>
      <c r="G243" s="11" t="s">
        <v>17</v>
      </c>
      <c r="H243" s="11" t="s">
        <v>627</v>
      </c>
    </row>
    <row r="244" spans="1:8" s="6" customFormat="1" ht="25.5">
      <c r="A244" s="5" t="s">
        <v>475</v>
      </c>
      <c r="B244" s="5" t="s">
        <v>628</v>
      </c>
      <c r="C244" s="16" t="str">
        <f>HYPERLINK("https://www.fcc.gov/ecfs/search/filings?proceedings_name=15-127&amp;sort=date_disseminated,DESC")</f>
        <v>https://www.fcc.gov/ecfs/search/filings?proceedings_name=15-127&amp;sort=date_disseminated,DESC</v>
      </c>
      <c r="D244" s="16" t="str">
        <f>HYPERLINK("https://apps.fcc.gov/edocs_public/Query.do?docket=15-127")</f>
        <v>https://apps.fcc.gov/edocs_public/Query.do?docket=15-127</v>
      </c>
      <c r="E244" s="5" t="s">
        <v>1150</v>
      </c>
      <c r="F244" s="11">
        <v>2</v>
      </c>
      <c r="G244" s="11" t="s">
        <v>606</v>
      </c>
      <c r="H244" s="11" t="s">
        <v>119</v>
      </c>
    </row>
    <row r="245" spans="1:8" s="6" customFormat="1" ht="25.5">
      <c r="A245" s="5" t="s">
        <v>475</v>
      </c>
      <c r="B245" s="5" t="s">
        <v>629</v>
      </c>
      <c r="C245" s="16" t="str">
        <f>HYPERLINK("https://www.fcc.gov/ecfs/search/filings?proceedings_name=15-128&amp;sort=date_disseminated,DESC")</f>
        <v>https://www.fcc.gov/ecfs/search/filings?proceedings_name=15-128&amp;sort=date_disseminated,DESC</v>
      </c>
      <c r="D245" s="16" t="str">
        <f>HYPERLINK("https://apps.fcc.gov/edocs_public/Query.do?docket=15-128")</f>
        <v>https://apps.fcc.gov/edocs_public/Query.do?docket=15-128</v>
      </c>
      <c r="E245" s="5" t="s">
        <v>630</v>
      </c>
      <c r="F245" s="11">
        <v>2</v>
      </c>
      <c r="G245" s="11" t="s">
        <v>631</v>
      </c>
      <c r="H245" s="11" t="s">
        <v>632</v>
      </c>
    </row>
    <row r="246" spans="1:8" s="6" customFormat="1" ht="25.5">
      <c r="A246" s="5" t="s">
        <v>475</v>
      </c>
      <c r="B246" s="5" t="s">
        <v>633</v>
      </c>
      <c r="C246" s="16" t="str">
        <f>HYPERLINK("https://www.fcc.gov/ecfs/search/filings?proceedings_name=15-129&amp;sort=date_disseminated,DESC")</f>
        <v>https://www.fcc.gov/ecfs/search/filings?proceedings_name=15-129&amp;sort=date_disseminated,DESC</v>
      </c>
      <c r="D246" s="16" t="str">
        <f>HYPERLINK("https://apps.fcc.gov/edocs_public/Query.do?docket=15-129")</f>
        <v>https://apps.fcc.gov/edocs_public/Query.do?docket=15-129</v>
      </c>
      <c r="E246" s="5" t="s">
        <v>634</v>
      </c>
      <c r="F246" s="11">
        <v>2</v>
      </c>
      <c r="G246" s="11" t="s">
        <v>635</v>
      </c>
      <c r="H246" s="11" t="s">
        <v>636</v>
      </c>
    </row>
    <row r="247" spans="1:8" s="6" customFormat="1" ht="25.5">
      <c r="A247" s="5" t="s">
        <v>475</v>
      </c>
      <c r="B247" s="5" t="s">
        <v>637</v>
      </c>
      <c r="C247" s="16" t="str">
        <f>HYPERLINK("https://www.fcc.gov/ecfs/search/filings?proceedings_name=15-131&amp;sort=date_disseminated,DESC")</f>
        <v>https://www.fcc.gov/ecfs/search/filings?proceedings_name=15-131&amp;sort=date_disseminated,DESC</v>
      </c>
      <c r="D247" s="16" t="str">
        <f>HYPERLINK("https://apps.fcc.gov/edocs_public/Query.do?docket=15-131")</f>
        <v>https://apps.fcc.gov/edocs_public/Query.do?docket=15-131</v>
      </c>
      <c r="E247" s="5" t="s">
        <v>1151</v>
      </c>
      <c r="F247" s="11">
        <v>3</v>
      </c>
      <c r="G247" s="11" t="s">
        <v>8</v>
      </c>
      <c r="H247" s="11" t="s">
        <v>638</v>
      </c>
    </row>
    <row r="248" spans="1:8" s="6" customFormat="1" ht="25.5">
      <c r="A248" s="5" t="s">
        <v>475</v>
      </c>
      <c r="B248" s="5" t="s">
        <v>639</v>
      </c>
      <c r="C248" s="16" t="str">
        <f>HYPERLINK("https://www.fcc.gov/ecfs/search/filings?proceedings_name=15-136&amp;sort=date_disseminated,DESC")</f>
        <v>https://www.fcc.gov/ecfs/search/filings?proceedings_name=15-136&amp;sort=date_disseminated,DESC</v>
      </c>
      <c r="D248" s="16" t="str">
        <f>HYPERLINK("https://apps.fcc.gov/edocs_public/Query.do?docket=15-136")</f>
        <v>https://apps.fcc.gov/edocs_public/Query.do?docket=15-136</v>
      </c>
      <c r="E248" s="5" t="s">
        <v>620</v>
      </c>
      <c r="F248" s="11">
        <v>4</v>
      </c>
      <c r="G248" s="11" t="s">
        <v>632</v>
      </c>
      <c r="H248" s="11" t="s">
        <v>640</v>
      </c>
    </row>
    <row r="249" spans="1:8" s="6" customFormat="1" ht="12.75">
      <c r="A249" s="5" t="s">
        <v>475</v>
      </c>
      <c r="B249" s="5" t="s">
        <v>641</v>
      </c>
      <c r="C249" s="16" t="str">
        <f>HYPERLINK("https://www.fcc.gov/ecfs/search/filings?proceedings_name=15-138&amp;sort=date_disseminated,DESC")</f>
        <v>https://www.fcc.gov/ecfs/search/filings?proceedings_name=15-138&amp;sort=date_disseminated,DESC</v>
      </c>
      <c r="D249" s="16" t="str">
        <f>HYPERLINK("https://apps.fcc.gov/edocs_public/Query.do?docket=15-138")</f>
        <v>https://apps.fcc.gov/edocs_public/Query.do?docket=15-138</v>
      </c>
      <c r="E249" s="5" t="s">
        <v>642</v>
      </c>
      <c r="F249" s="11">
        <v>6</v>
      </c>
      <c r="G249" s="11" t="s">
        <v>632</v>
      </c>
      <c r="H249" s="11" t="s">
        <v>536</v>
      </c>
    </row>
    <row r="250" spans="1:8" s="6" customFormat="1" ht="25.5">
      <c r="A250" s="5" t="s">
        <v>475</v>
      </c>
      <c r="B250" s="5" t="s">
        <v>643</v>
      </c>
      <c r="C250" s="16" t="str">
        <f>HYPERLINK("https://www.fcc.gov/ecfs/search/filings?proceedings_name=15-139&amp;sort=date_disseminated,DESC")</f>
        <v>https://www.fcc.gov/ecfs/search/filings?proceedings_name=15-139&amp;sort=date_disseminated,DESC</v>
      </c>
      <c r="D250" s="16" t="str">
        <f>HYPERLINK("https://apps.fcc.gov/edocs_public/Query.do?docket=15-139")</f>
        <v>https://apps.fcc.gov/edocs_public/Query.do?docket=15-139</v>
      </c>
      <c r="E250" s="5" t="s">
        <v>644</v>
      </c>
      <c r="F250" s="11">
        <v>4</v>
      </c>
      <c r="G250" s="11" t="s">
        <v>609</v>
      </c>
      <c r="H250" s="11" t="s">
        <v>422</v>
      </c>
    </row>
    <row r="251" spans="1:8" s="6" customFormat="1" ht="12.75">
      <c r="A251" s="5" t="s">
        <v>475</v>
      </c>
      <c r="B251" s="5" t="s">
        <v>645</v>
      </c>
      <c r="C251" s="16" t="str">
        <f>HYPERLINK("https://www.fcc.gov/ecfs/search/filings?proceedings_name=15-14&amp;sort=date_disseminated,DESC")</f>
        <v>https://www.fcc.gov/ecfs/search/filings?proceedings_name=15-14&amp;sort=date_disseminated,DESC</v>
      </c>
      <c r="D251" s="16" t="str">
        <f>HYPERLINK("https://apps.fcc.gov/edocs_public/Query.do?docket=15-14")</f>
        <v>https://apps.fcc.gov/edocs_public/Query.do?docket=15-14</v>
      </c>
      <c r="E251" s="5" t="s">
        <v>646</v>
      </c>
      <c r="F251" s="11">
        <v>6</v>
      </c>
      <c r="G251" s="11" t="s">
        <v>647</v>
      </c>
      <c r="H251" s="11" t="s">
        <v>648</v>
      </c>
    </row>
    <row r="252" spans="1:8" s="6" customFormat="1" ht="25.5">
      <c r="A252" s="5" t="s">
        <v>475</v>
      </c>
      <c r="B252" s="5" t="s">
        <v>649</v>
      </c>
      <c r="C252" s="16" t="str">
        <f>HYPERLINK("https://www.fcc.gov/ecfs/search/filings?proceedings_name=15-140&amp;sort=date_disseminated,DESC")</f>
        <v>https://www.fcc.gov/ecfs/search/filings?proceedings_name=15-140&amp;sort=date_disseminated,DESC</v>
      </c>
      <c r="D252" s="16" t="str">
        <f>HYPERLINK("https://apps.fcc.gov/edocs_public/Query.do?docket=15-140")</f>
        <v>https://apps.fcc.gov/edocs_public/Query.do?docket=15-140</v>
      </c>
      <c r="E252" s="5" t="s">
        <v>650</v>
      </c>
      <c r="F252" s="11">
        <v>2</v>
      </c>
      <c r="G252" s="11" t="s">
        <v>609</v>
      </c>
      <c r="H252" s="11" t="s">
        <v>595</v>
      </c>
    </row>
    <row r="253" spans="1:8" s="6" customFormat="1" ht="25.5">
      <c r="A253" s="5" t="s">
        <v>475</v>
      </c>
      <c r="B253" s="5" t="s">
        <v>651</v>
      </c>
      <c r="C253" s="16" t="str">
        <f>HYPERLINK("https://www.fcc.gov/ecfs/search/filings?proceedings_name=15-141&amp;sort=date_disseminated,DESC")</f>
        <v>https://www.fcc.gov/ecfs/search/filings?proceedings_name=15-141&amp;sort=date_disseminated,DESC</v>
      </c>
      <c r="D253" s="16" t="str">
        <f>HYPERLINK("https://apps.fcc.gov/edocs_public/Query.do?docket=15-141")</f>
        <v>https://apps.fcc.gov/edocs_public/Query.do?docket=15-141</v>
      </c>
      <c r="E253" s="5" t="s">
        <v>650</v>
      </c>
      <c r="F253" s="11">
        <v>2</v>
      </c>
      <c r="G253" s="11" t="s">
        <v>609</v>
      </c>
      <c r="H253" s="11" t="s">
        <v>595</v>
      </c>
    </row>
    <row r="254" spans="1:8" s="6" customFormat="1" ht="25.5">
      <c r="A254" s="5" t="s">
        <v>475</v>
      </c>
      <c r="B254" s="5" t="s">
        <v>652</v>
      </c>
      <c r="C254" s="16" t="str">
        <f>HYPERLINK("https://www.fcc.gov/ecfs/search/filings?proceedings_name=15-143&amp;sort=date_disseminated,DESC")</f>
        <v>https://www.fcc.gov/ecfs/search/filings?proceedings_name=15-143&amp;sort=date_disseminated,DESC</v>
      </c>
      <c r="D254" s="16" t="str">
        <f>HYPERLINK("https://apps.fcc.gov/edocs_public/Query.do?docket=15-143")</f>
        <v>https://apps.fcc.gov/edocs_public/Query.do?docket=15-143</v>
      </c>
      <c r="E254" s="5" t="s">
        <v>650</v>
      </c>
      <c r="F254" s="11">
        <v>2</v>
      </c>
      <c r="G254" s="11" t="s">
        <v>653</v>
      </c>
      <c r="H254" s="11" t="s">
        <v>595</v>
      </c>
    </row>
    <row r="255" spans="1:8" s="6" customFormat="1" ht="25.5">
      <c r="A255" s="5" t="s">
        <v>475</v>
      </c>
      <c r="B255" s="5" t="s">
        <v>654</v>
      </c>
      <c r="C255" s="16" t="str">
        <f>HYPERLINK("https://www.fcc.gov/ecfs/search/filings?proceedings_name=15-144&amp;sort=date_disseminated,DESC")</f>
        <v>https://www.fcc.gov/ecfs/search/filings?proceedings_name=15-144&amp;sort=date_disseminated,DESC</v>
      </c>
      <c r="D255" s="16" t="str">
        <f>HYPERLINK("https://apps.fcc.gov/edocs_public/Query.do?docket=15-144")</f>
        <v>https://apps.fcc.gov/edocs_public/Query.do?docket=15-144</v>
      </c>
      <c r="E255" s="5" t="s">
        <v>650</v>
      </c>
      <c r="F255" s="11">
        <v>2</v>
      </c>
      <c r="G255" s="11" t="s">
        <v>653</v>
      </c>
      <c r="H255" s="11" t="s">
        <v>653</v>
      </c>
    </row>
    <row r="256" spans="1:8" s="6" customFormat="1" ht="25.5">
      <c r="A256" s="5" t="s">
        <v>475</v>
      </c>
      <c r="B256" s="5" t="s">
        <v>655</v>
      </c>
      <c r="C256" s="16" t="str">
        <f>HYPERLINK("https://www.fcc.gov/ecfs/search/filings?proceedings_name=15-15&amp;sort=date_disseminated,DESC")</f>
        <v>https://www.fcc.gov/ecfs/search/filings?proceedings_name=15-15&amp;sort=date_disseminated,DESC</v>
      </c>
      <c r="D256" s="16" t="str">
        <f>HYPERLINK("https://apps.fcc.gov/edocs_public/Query.do?docket=15-15")</f>
        <v>https://apps.fcc.gov/edocs_public/Query.do?docket=15-15</v>
      </c>
      <c r="E256" s="5" t="s">
        <v>656</v>
      </c>
      <c r="F256" s="11">
        <v>7</v>
      </c>
      <c r="G256" s="11" t="s">
        <v>647</v>
      </c>
      <c r="H256" s="11" t="s">
        <v>80</v>
      </c>
    </row>
    <row r="257" spans="1:8" s="6" customFormat="1" ht="25.5">
      <c r="A257" s="5" t="s">
        <v>475</v>
      </c>
      <c r="B257" s="5" t="s">
        <v>657</v>
      </c>
      <c r="C257" s="16" t="str">
        <f>HYPERLINK("https://www.fcc.gov/ecfs/search/filings?proceedings_name=15-150&amp;sort=date_disseminated,DESC")</f>
        <v>https://www.fcc.gov/ecfs/search/filings?proceedings_name=15-150&amp;sort=date_disseminated,DESC</v>
      </c>
      <c r="D257" s="16" t="str">
        <f>HYPERLINK("https://apps.fcc.gov/edocs_public/Query.do?docket=15-150")</f>
        <v>https://apps.fcc.gov/edocs_public/Query.do?docket=15-150</v>
      </c>
      <c r="E257" s="5" t="s">
        <v>658</v>
      </c>
      <c r="F257" s="11">
        <v>3</v>
      </c>
      <c r="G257" s="11" t="s">
        <v>165</v>
      </c>
      <c r="H257" s="11" t="s">
        <v>233</v>
      </c>
    </row>
    <row r="258" spans="1:8" s="6" customFormat="1" ht="38.25">
      <c r="A258" s="5" t="s">
        <v>475</v>
      </c>
      <c r="B258" s="5" t="s">
        <v>659</v>
      </c>
      <c r="C258" s="16" t="str">
        <f>HYPERLINK("https://www.fcc.gov/ecfs/search/filings?proceedings_name=15-154&amp;sort=date_disseminated,DESC")</f>
        <v>https://www.fcc.gov/ecfs/search/filings?proceedings_name=15-154&amp;sort=date_disseminated,DESC</v>
      </c>
      <c r="D258" s="16" t="str">
        <f>HYPERLINK("https://apps.fcc.gov/edocs_public/Query.do?docket=15-154")</f>
        <v>https://apps.fcc.gov/edocs_public/Query.do?docket=15-154</v>
      </c>
      <c r="E258" s="5" t="s">
        <v>660</v>
      </c>
      <c r="F258" s="11">
        <v>3</v>
      </c>
      <c r="G258" s="11" t="s">
        <v>150</v>
      </c>
      <c r="H258" s="11" t="s">
        <v>75</v>
      </c>
    </row>
    <row r="259" spans="1:8" s="6" customFormat="1" ht="25.5">
      <c r="A259" s="5" t="s">
        <v>475</v>
      </c>
      <c r="B259" s="5" t="s">
        <v>661</v>
      </c>
      <c r="C259" s="16" t="str">
        <f>HYPERLINK("https://www.fcc.gov/ecfs/search/filings?proceedings_name=15-155&amp;sort=date_disseminated,DESC")</f>
        <v>https://www.fcc.gov/ecfs/search/filings?proceedings_name=15-155&amp;sort=date_disseminated,DESC</v>
      </c>
      <c r="D259" s="16" t="str">
        <f>HYPERLINK("https://apps.fcc.gov/edocs_public/Query.do?docket=15-155")</f>
        <v>https://apps.fcc.gov/edocs_public/Query.do?docket=15-155</v>
      </c>
      <c r="E259" s="5" t="s">
        <v>620</v>
      </c>
      <c r="F259" s="11">
        <v>2</v>
      </c>
      <c r="G259" s="11" t="s">
        <v>75</v>
      </c>
      <c r="H259" s="11" t="s">
        <v>636</v>
      </c>
    </row>
    <row r="260" spans="1:8" s="6" customFormat="1" ht="25.5">
      <c r="A260" s="5" t="s">
        <v>475</v>
      </c>
      <c r="B260" s="5" t="s">
        <v>662</v>
      </c>
      <c r="C260" s="16" t="str">
        <f>HYPERLINK("https://www.fcc.gov/ecfs/search/filings?proceedings_name=15-159&amp;sort=date_disseminated,DESC")</f>
        <v>https://www.fcc.gov/ecfs/search/filings?proceedings_name=15-159&amp;sort=date_disseminated,DESC</v>
      </c>
      <c r="D260" s="16" t="str">
        <f>HYPERLINK("https://apps.fcc.gov/edocs_public/Query.do?docket=15-159")</f>
        <v>https://apps.fcc.gov/edocs_public/Query.do?docket=15-159</v>
      </c>
      <c r="E260" s="5" t="s">
        <v>663</v>
      </c>
      <c r="F260" s="11">
        <v>3</v>
      </c>
      <c r="G260" s="11" t="s">
        <v>664</v>
      </c>
      <c r="H260" s="11" t="s">
        <v>638</v>
      </c>
    </row>
    <row r="261" spans="1:8" s="6" customFormat="1" ht="25.5">
      <c r="A261" s="5" t="s">
        <v>475</v>
      </c>
      <c r="B261" s="5" t="s">
        <v>665</v>
      </c>
      <c r="C261" s="16" t="str">
        <f>HYPERLINK("https://www.fcc.gov/ecfs/search/filings?proceedings_name=15-160&amp;sort=date_disseminated,DESC")</f>
        <v>https://www.fcc.gov/ecfs/search/filings?proceedings_name=15-160&amp;sort=date_disseminated,DESC</v>
      </c>
      <c r="D261" s="16" t="str">
        <f>HYPERLINK("https://apps.fcc.gov/edocs_public/Query.do?docket=15-160")</f>
        <v>https://apps.fcc.gov/edocs_public/Query.do?docket=15-160</v>
      </c>
      <c r="E261" s="5" t="s">
        <v>666</v>
      </c>
      <c r="F261" s="11">
        <v>2</v>
      </c>
      <c r="G261" s="11" t="s">
        <v>664</v>
      </c>
      <c r="H261" s="11" t="s">
        <v>667</v>
      </c>
    </row>
    <row r="262" spans="1:8" s="6" customFormat="1" ht="25.5">
      <c r="A262" s="5" t="s">
        <v>475</v>
      </c>
      <c r="B262" s="5" t="s">
        <v>668</v>
      </c>
      <c r="C262" s="16" t="str">
        <f>HYPERLINK("https://www.fcc.gov/ecfs/search/filings?proceedings_name=15-161&amp;sort=date_disseminated,DESC")</f>
        <v>https://www.fcc.gov/ecfs/search/filings?proceedings_name=15-161&amp;sort=date_disseminated,DESC</v>
      </c>
      <c r="D262" s="16" t="str">
        <f>HYPERLINK("https://apps.fcc.gov/edocs_public/Query.do?docket=15-161")</f>
        <v>https://apps.fcc.gov/edocs_public/Query.do?docket=15-161</v>
      </c>
      <c r="E262" s="5" t="s">
        <v>669</v>
      </c>
      <c r="F262" s="11">
        <v>3</v>
      </c>
      <c r="G262" s="11" t="s">
        <v>664</v>
      </c>
      <c r="H262" s="11" t="s">
        <v>670</v>
      </c>
    </row>
    <row r="263" spans="1:8" s="6" customFormat="1" ht="25.5">
      <c r="A263" s="5" t="s">
        <v>475</v>
      </c>
      <c r="B263" s="5" t="s">
        <v>671</v>
      </c>
      <c r="C263" s="16" t="str">
        <f>HYPERLINK("https://www.fcc.gov/ecfs/search/filings?proceedings_name=15-163&amp;sort=date_disseminated,DESC")</f>
        <v>https://www.fcc.gov/ecfs/search/filings?proceedings_name=15-163&amp;sort=date_disseminated,DESC</v>
      </c>
      <c r="D263" s="16" t="str">
        <f>HYPERLINK("https://apps.fcc.gov/edocs_public/Query.do?docket=15-163")</f>
        <v>https://apps.fcc.gov/edocs_public/Query.do?docket=15-163</v>
      </c>
      <c r="E263" s="5" t="s">
        <v>672</v>
      </c>
      <c r="F263" s="11">
        <v>7</v>
      </c>
      <c r="G263" s="11" t="s">
        <v>463</v>
      </c>
      <c r="H263" s="11" t="s">
        <v>673</v>
      </c>
    </row>
    <row r="264" spans="1:8" s="6" customFormat="1" ht="25.5">
      <c r="A264" s="5" t="s">
        <v>475</v>
      </c>
      <c r="B264" s="5" t="s">
        <v>674</v>
      </c>
      <c r="C264" s="16" t="str">
        <f>HYPERLINK("https://www.fcc.gov/ecfs/search/filings?proceedings_name=15-164&amp;sort=date_disseminated,DESC")</f>
        <v>https://www.fcc.gov/ecfs/search/filings?proceedings_name=15-164&amp;sort=date_disseminated,DESC</v>
      </c>
      <c r="D264" s="16" t="str">
        <f>HYPERLINK("https://apps.fcc.gov/edocs_public/Query.do?docket=15-164")</f>
        <v>https://apps.fcc.gov/edocs_public/Query.do?docket=15-164</v>
      </c>
      <c r="E264" s="5" t="s">
        <v>675</v>
      </c>
      <c r="F264" s="11">
        <v>2</v>
      </c>
      <c r="G264" s="11" t="s">
        <v>463</v>
      </c>
      <c r="H264" s="11" t="s">
        <v>676</v>
      </c>
    </row>
    <row r="265" spans="1:8" s="6" customFormat="1" ht="25.5">
      <c r="A265" s="5" t="s">
        <v>475</v>
      </c>
      <c r="B265" s="5" t="s">
        <v>677</v>
      </c>
      <c r="C265" s="16" t="str">
        <f>HYPERLINK("https://www.fcc.gov/ecfs/search/filings?proceedings_name=15-168&amp;sort=date_disseminated,DESC")</f>
        <v>https://www.fcc.gov/ecfs/search/filings?proceedings_name=15-168&amp;sort=date_disseminated,DESC</v>
      </c>
      <c r="D265" s="16" t="str">
        <f>HYPERLINK("https://apps.fcc.gov/edocs_public/Query.do?docket=15-168")</f>
        <v>https://apps.fcc.gov/edocs_public/Query.do?docket=15-168</v>
      </c>
      <c r="E265" s="5" t="s">
        <v>1103</v>
      </c>
      <c r="F265" s="11">
        <v>2</v>
      </c>
      <c r="G265" s="11" t="s">
        <v>248</v>
      </c>
      <c r="H265" s="11" t="s">
        <v>678</v>
      </c>
    </row>
    <row r="266" spans="1:8" s="6" customFormat="1" ht="25.5">
      <c r="A266" s="5" t="s">
        <v>475</v>
      </c>
      <c r="B266" s="5" t="s">
        <v>679</v>
      </c>
      <c r="C266" s="16" t="str">
        <f>HYPERLINK("https://www.fcc.gov/ecfs/search/filings?proceedings_name=15-169&amp;sort=date_disseminated,DESC")</f>
        <v>https://www.fcc.gov/ecfs/search/filings?proceedings_name=15-169&amp;sort=date_disseminated,DESC</v>
      </c>
      <c r="D266" s="16" t="str">
        <f>HYPERLINK("https://apps.fcc.gov/edocs_public/Query.do?docket=15-169")</f>
        <v>https://apps.fcc.gov/edocs_public/Query.do?docket=15-169</v>
      </c>
      <c r="E266" s="5" t="s">
        <v>680</v>
      </c>
      <c r="F266" s="11">
        <v>2</v>
      </c>
      <c r="G266" s="11" t="s">
        <v>678</v>
      </c>
      <c r="H266" s="11" t="s">
        <v>217</v>
      </c>
    </row>
    <row r="267" spans="1:8" s="6" customFormat="1" ht="25.5">
      <c r="A267" s="5" t="s">
        <v>475</v>
      </c>
      <c r="B267" s="5" t="s">
        <v>681</v>
      </c>
      <c r="C267" s="16" t="str">
        <f>HYPERLINK("https://www.fcc.gov/ecfs/search/filings?proceedings_name=15-171&amp;sort=date_disseminated,DESC")</f>
        <v>https://www.fcc.gov/ecfs/search/filings?proceedings_name=15-171&amp;sort=date_disseminated,DESC</v>
      </c>
      <c r="D267" s="16" t="str">
        <f>HYPERLINK("https://apps.fcc.gov/edocs_public/Query.do?docket=15-171")</f>
        <v>https://apps.fcc.gov/edocs_public/Query.do?docket=15-171</v>
      </c>
      <c r="E267" s="5" t="s">
        <v>682</v>
      </c>
      <c r="F267" s="11">
        <v>4</v>
      </c>
      <c r="G267" s="11" t="s">
        <v>683</v>
      </c>
      <c r="H267" s="11" t="s">
        <v>684</v>
      </c>
    </row>
    <row r="268" spans="1:8" s="6" customFormat="1" ht="25.5">
      <c r="A268" s="5" t="s">
        <v>475</v>
      </c>
      <c r="B268" s="5" t="s">
        <v>685</v>
      </c>
      <c r="C268" s="16" t="str">
        <f>HYPERLINK("https://www.fcc.gov/ecfs/search/filings?proceedings_name=15-172&amp;sort=date_disseminated,DESC")</f>
        <v>https://www.fcc.gov/ecfs/search/filings?proceedings_name=15-172&amp;sort=date_disseminated,DESC</v>
      </c>
      <c r="D268" s="16" t="str">
        <f>HYPERLINK("https://apps.fcc.gov/edocs_public/Query.do?docket=15-172")</f>
        <v>https://apps.fcc.gov/edocs_public/Query.do?docket=15-172</v>
      </c>
      <c r="E268" s="5" t="s">
        <v>686</v>
      </c>
      <c r="F268" s="11">
        <v>1</v>
      </c>
      <c r="G268" s="11" t="s">
        <v>687</v>
      </c>
      <c r="H268" s="11" t="s">
        <v>688</v>
      </c>
    </row>
    <row r="269" spans="1:8" s="6" customFormat="1" ht="25.5">
      <c r="A269" s="5" t="s">
        <v>475</v>
      </c>
      <c r="B269" s="5" t="s">
        <v>689</v>
      </c>
      <c r="C269" s="16" t="str">
        <f>HYPERLINK("https://www.fcc.gov/ecfs/search/filings?proceedings_name=15-174&amp;sort=date_disseminated,DESC")</f>
        <v>https://www.fcc.gov/ecfs/search/filings?proceedings_name=15-174&amp;sort=date_disseminated,DESC</v>
      </c>
      <c r="D269" s="16" t="str">
        <f>HYPERLINK("https://apps.fcc.gov/edocs_public/Query.do?docket=15-174")</f>
        <v>https://apps.fcc.gov/edocs_public/Query.do?docket=15-174</v>
      </c>
      <c r="E269" s="5" t="s">
        <v>690</v>
      </c>
      <c r="F269" s="11">
        <v>1</v>
      </c>
      <c r="G269" s="11" t="s">
        <v>687</v>
      </c>
      <c r="H269" s="11" t="s">
        <v>688</v>
      </c>
    </row>
    <row r="270" spans="1:8" s="6" customFormat="1" ht="25.5">
      <c r="A270" s="5" t="s">
        <v>475</v>
      </c>
      <c r="B270" s="5" t="s">
        <v>691</v>
      </c>
      <c r="C270" s="16" t="str">
        <f>HYPERLINK("https://www.fcc.gov/ecfs/search/filings?proceedings_name=15-175&amp;sort=date_disseminated,DESC")</f>
        <v>https://www.fcc.gov/ecfs/search/filings?proceedings_name=15-175&amp;sort=date_disseminated,DESC</v>
      </c>
      <c r="D270" s="16" t="str">
        <f>HYPERLINK("https://apps.fcc.gov/edocs_public/Query.do?docket=15-175")</f>
        <v>https://apps.fcc.gov/edocs_public/Query.do?docket=15-175</v>
      </c>
      <c r="E270" s="5" t="s">
        <v>690</v>
      </c>
      <c r="F270" s="11">
        <v>1</v>
      </c>
      <c r="G270" s="11" t="s">
        <v>687</v>
      </c>
      <c r="H270" s="11" t="s">
        <v>688</v>
      </c>
    </row>
    <row r="271" spans="1:8" s="6" customFormat="1" ht="25.5">
      <c r="A271" s="5" t="s">
        <v>475</v>
      </c>
      <c r="B271" s="5" t="s">
        <v>692</v>
      </c>
      <c r="C271" s="16" t="str">
        <f>HYPERLINK("https://www.fcc.gov/ecfs/search/filings?proceedings_name=15-176&amp;sort=date_disseminated,DESC")</f>
        <v>https://www.fcc.gov/ecfs/search/filings?proceedings_name=15-176&amp;sort=date_disseminated,DESC</v>
      </c>
      <c r="D271" s="16" t="str">
        <f>HYPERLINK("https://apps.fcc.gov/edocs_public/Query.do?docket=15-176")</f>
        <v>https://apps.fcc.gov/edocs_public/Query.do?docket=15-176</v>
      </c>
      <c r="E271" s="5" t="s">
        <v>693</v>
      </c>
      <c r="F271" s="11">
        <v>3</v>
      </c>
      <c r="G271" s="11" t="s">
        <v>688</v>
      </c>
      <c r="H271" s="11" t="s">
        <v>694</v>
      </c>
    </row>
    <row r="272" spans="1:8" s="6" customFormat="1" ht="25.5">
      <c r="A272" s="5" t="s">
        <v>475</v>
      </c>
      <c r="B272" s="5" t="s">
        <v>695</v>
      </c>
      <c r="C272" s="16" t="str">
        <f>HYPERLINK("https://www.fcc.gov/ecfs/search/filings?proceedings_name=15-177&amp;sort=date_disseminated,DESC")</f>
        <v>https://www.fcc.gov/ecfs/search/filings?proceedings_name=15-177&amp;sort=date_disseminated,DESC</v>
      </c>
      <c r="D272" s="16" t="str">
        <f>HYPERLINK("https://apps.fcc.gov/edocs_public/Query.do?docket=15-177")</f>
        <v>https://apps.fcc.gov/edocs_public/Query.do?docket=15-177</v>
      </c>
      <c r="E272" s="5" t="s">
        <v>696</v>
      </c>
      <c r="F272" s="11">
        <v>5</v>
      </c>
      <c r="G272" s="11" t="s">
        <v>688</v>
      </c>
      <c r="H272" s="11" t="s">
        <v>697</v>
      </c>
    </row>
    <row r="273" spans="1:8" s="6" customFormat="1" ht="25.5">
      <c r="A273" s="5" t="s">
        <v>475</v>
      </c>
      <c r="B273" s="5" t="s">
        <v>698</v>
      </c>
      <c r="C273" s="16" t="str">
        <f>HYPERLINK("https://www.fcc.gov/ecfs/search/filings?proceedings_name=15-179&amp;sort=date_disseminated,DESC")</f>
        <v>https://www.fcc.gov/ecfs/search/filings?proceedings_name=15-179&amp;sort=date_disseminated,DESC</v>
      </c>
      <c r="D273" s="16" t="str">
        <f>HYPERLINK("https://apps.fcc.gov/edocs_public/Query.do?docket=15-179")</f>
        <v>https://apps.fcc.gov/edocs_public/Query.do?docket=15-179</v>
      </c>
      <c r="E273" s="5" t="s">
        <v>1152</v>
      </c>
      <c r="F273" s="11">
        <v>1</v>
      </c>
      <c r="G273" s="11" t="s">
        <v>257</v>
      </c>
      <c r="H273" s="11" t="s">
        <v>699</v>
      </c>
    </row>
    <row r="274" spans="1:8" s="6" customFormat="1" ht="25.5">
      <c r="A274" s="5" t="s">
        <v>475</v>
      </c>
      <c r="B274" s="5" t="s">
        <v>700</v>
      </c>
      <c r="C274" s="16" t="str">
        <f>HYPERLINK("https://www.fcc.gov/ecfs/search/filings?proceedings_name=15-182&amp;sort=date_disseminated,DESC")</f>
        <v>https://www.fcc.gov/ecfs/search/filings?proceedings_name=15-182&amp;sort=date_disseminated,DESC</v>
      </c>
      <c r="D274" s="16" t="str">
        <f>HYPERLINK("https://apps.fcc.gov/edocs_public/Query.do?docket=15-182")</f>
        <v>https://apps.fcc.gov/edocs_public/Query.do?docket=15-182</v>
      </c>
      <c r="E274" s="5" t="s">
        <v>701</v>
      </c>
      <c r="F274" s="11">
        <v>2</v>
      </c>
      <c r="G274" s="11" t="s">
        <v>84</v>
      </c>
      <c r="H274" s="11" t="s">
        <v>28</v>
      </c>
    </row>
    <row r="275" spans="1:8" s="6" customFormat="1" ht="25.5">
      <c r="A275" s="5" t="s">
        <v>475</v>
      </c>
      <c r="B275" s="5" t="s">
        <v>702</v>
      </c>
      <c r="C275" s="16" t="str">
        <f>HYPERLINK("https://www.fcc.gov/ecfs/search/filings?proceedings_name=15-183&amp;sort=date_disseminated,DESC")</f>
        <v>https://www.fcc.gov/ecfs/search/filings?proceedings_name=15-183&amp;sort=date_disseminated,DESC</v>
      </c>
      <c r="D275" s="16" t="str">
        <f>HYPERLINK("https://apps.fcc.gov/edocs_public/Query.do?docket=15-183")</f>
        <v>https://apps.fcc.gov/edocs_public/Query.do?docket=15-183</v>
      </c>
      <c r="E275" s="5" t="s">
        <v>703</v>
      </c>
      <c r="F275" s="11">
        <v>2</v>
      </c>
      <c r="G275" s="11" t="s">
        <v>84</v>
      </c>
      <c r="H275" s="11" t="s">
        <v>224</v>
      </c>
    </row>
    <row r="276" spans="1:8" s="6" customFormat="1" ht="25.5">
      <c r="A276" s="5" t="s">
        <v>475</v>
      </c>
      <c r="B276" s="5" t="s">
        <v>704</v>
      </c>
      <c r="C276" s="16" t="str">
        <f>HYPERLINK("https://www.fcc.gov/ecfs/search/filings?proceedings_name=15-185&amp;sort=date_disseminated,DESC")</f>
        <v>https://www.fcc.gov/ecfs/search/filings?proceedings_name=15-185&amp;sort=date_disseminated,DESC</v>
      </c>
      <c r="D276" s="16" t="str">
        <f>HYPERLINK("https://apps.fcc.gov/edocs_public/Query.do?docket=15-185")</f>
        <v>https://apps.fcc.gov/edocs_public/Query.do?docket=15-185</v>
      </c>
      <c r="E276" s="5" t="s">
        <v>705</v>
      </c>
      <c r="F276" s="11">
        <v>3</v>
      </c>
      <c r="G276" s="11" t="s">
        <v>28</v>
      </c>
      <c r="H276" s="11" t="s">
        <v>706</v>
      </c>
    </row>
    <row r="277" spans="1:8" s="6" customFormat="1" ht="38.25">
      <c r="A277" s="5" t="s">
        <v>475</v>
      </c>
      <c r="B277" s="5" t="s">
        <v>707</v>
      </c>
      <c r="C277" s="16" t="str">
        <f>HYPERLINK("https://www.fcc.gov/ecfs/search/filings?proceedings_name=15-187&amp;sort=date_disseminated,DESC")</f>
        <v>https://www.fcc.gov/ecfs/search/filings?proceedings_name=15-187&amp;sort=date_disseminated,DESC</v>
      </c>
      <c r="D277" s="16" t="str">
        <f>HYPERLINK("https://apps.fcc.gov/edocs_public/Query.do?docket=15-187")</f>
        <v>https://apps.fcc.gov/edocs_public/Query.do?docket=15-187</v>
      </c>
      <c r="E277" s="5" t="s">
        <v>708</v>
      </c>
      <c r="F277" s="11">
        <v>3</v>
      </c>
      <c r="G277" s="11" t="s">
        <v>28</v>
      </c>
      <c r="H277" s="11" t="s">
        <v>7</v>
      </c>
    </row>
    <row r="278" spans="1:8" s="6" customFormat="1" ht="38.25">
      <c r="A278" s="5" t="s">
        <v>475</v>
      </c>
      <c r="B278" s="5" t="s">
        <v>709</v>
      </c>
      <c r="C278" s="16" t="str">
        <f>HYPERLINK("https://www.fcc.gov/ecfs/search/filings?proceedings_name=15-188&amp;sort=date_disseminated,DESC")</f>
        <v>https://www.fcc.gov/ecfs/search/filings?proceedings_name=15-188&amp;sort=date_disseminated,DESC</v>
      </c>
      <c r="D278" s="16" t="str">
        <f>HYPERLINK("https://apps.fcc.gov/edocs_public/Query.do?docket=15-188")</f>
        <v>https://apps.fcc.gov/edocs_public/Query.do?docket=15-188</v>
      </c>
      <c r="E278" s="5" t="s">
        <v>710</v>
      </c>
      <c r="F278" s="11">
        <v>7</v>
      </c>
      <c r="G278" s="11" t="s">
        <v>711</v>
      </c>
      <c r="H278" s="11" t="s">
        <v>252</v>
      </c>
    </row>
    <row r="279" spans="1:8" s="6" customFormat="1" ht="25.5">
      <c r="A279" s="5" t="s">
        <v>475</v>
      </c>
      <c r="B279" s="5" t="s">
        <v>712</v>
      </c>
      <c r="C279" s="16" t="str">
        <f>HYPERLINK("https://www.fcc.gov/ecfs/search/filings?proceedings_name=15-189&amp;sort=date_disseminated,DESC")</f>
        <v>https://www.fcc.gov/ecfs/search/filings?proceedings_name=15-189&amp;sort=date_disseminated,DESC</v>
      </c>
      <c r="D279" s="16" t="str">
        <f>HYPERLINK("https://apps.fcc.gov/edocs_public/Query.do?docket=15-189")</f>
        <v>https://apps.fcc.gov/edocs_public/Query.do?docket=15-189</v>
      </c>
      <c r="E279" s="5" t="s">
        <v>713</v>
      </c>
      <c r="F279" s="11">
        <v>5</v>
      </c>
      <c r="G279" s="11" t="s">
        <v>638</v>
      </c>
      <c r="H279" s="11" t="s">
        <v>714</v>
      </c>
    </row>
    <row r="280" spans="1:8" s="6" customFormat="1" ht="25.5">
      <c r="A280" s="5" t="s">
        <v>475</v>
      </c>
      <c r="B280" s="5" t="s">
        <v>715</v>
      </c>
      <c r="C280" s="16" t="str">
        <f>HYPERLINK("https://www.fcc.gov/ecfs/search/filings?proceedings_name=15-19&amp;sort=date_disseminated,DESC")</f>
        <v>https://www.fcc.gov/ecfs/search/filings?proceedings_name=15-19&amp;sort=date_disseminated,DESC</v>
      </c>
      <c r="D280" s="16" t="str">
        <f>HYPERLINK("https://apps.fcc.gov/edocs_public/Query.do?docket=15-19")</f>
        <v>https://apps.fcc.gov/edocs_public/Query.do?docket=15-19</v>
      </c>
      <c r="E280" s="5" t="s">
        <v>716</v>
      </c>
      <c r="F280" s="11">
        <v>5</v>
      </c>
      <c r="G280" s="11" t="s">
        <v>64</v>
      </c>
      <c r="H280" s="11" t="s">
        <v>717</v>
      </c>
    </row>
    <row r="281" spans="1:8" s="6" customFormat="1" ht="25.5">
      <c r="A281" s="5" t="s">
        <v>475</v>
      </c>
      <c r="B281" s="5" t="s">
        <v>718</v>
      </c>
      <c r="C281" s="16" t="str">
        <f>HYPERLINK("https://www.fcc.gov/ecfs/search/filings?proceedings_name=15-193&amp;sort=date_disseminated,DESC")</f>
        <v>https://www.fcc.gov/ecfs/search/filings?proceedings_name=15-193&amp;sort=date_disseminated,DESC</v>
      </c>
      <c r="D281" s="16" t="str">
        <f>HYPERLINK("https://apps.fcc.gov/edocs_public/Query.do?docket=15-193")</f>
        <v>https://apps.fcc.gov/edocs_public/Query.do?docket=15-193</v>
      </c>
      <c r="E281" s="5" t="s">
        <v>1150</v>
      </c>
      <c r="F281" s="11">
        <v>2</v>
      </c>
      <c r="G281" s="11" t="s">
        <v>719</v>
      </c>
      <c r="H281" s="11" t="s">
        <v>719</v>
      </c>
    </row>
    <row r="282" spans="1:8" s="6" customFormat="1" ht="25.5">
      <c r="A282" s="5" t="s">
        <v>475</v>
      </c>
      <c r="B282" s="5" t="s">
        <v>720</v>
      </c>
      <c r="C282" s="16" t="str">
        <f>HYPERLINK("https://www.fcc.gov/ecfs/search/filings?proceedings_name=15-194&amp;sort=date_disseminated,DESC")</f>
        <v>https://www.fcc.gov/ecfs/search/filings?proceedings_name=15-194&amp;sort=date_disseminated,DESC</v>
      </c>
      <c r="D282" s="16" t="str">
        <f>HYPERLINK("https://apps.fcc.gov/edocs_public/Query.do?docket=15-194")</f>
        <v>https://apps.fcc.gov/edocs_public/Query.do?docket=15-194</v>
      </c>
      <c r="E282" s="5" t="s">
        <v>1150</v>
      </c>
      <c r="F282" s="11">
        <v>2</v>
      </c>
      <c r="G282" s="11" t="s">
        <v>224</v>
      </c>
      <c r="H282" s="11" t="s">
        <v>224</v>
      </c>
    </row>
    <row r="283" spans="1:8" s="6" customFormat="1" ht="25.5">
      <c r="A283" s="5" t="s">
        <v>475</v>
      </c>
      <c r="B283" s="5" t="s">
        <v>721</v>
      </c>
      <c r="C283" s="16" t="str">
        <f>HYPERLINK("https://www.fcc.gov/ecfs/search/filings?proceedings_name=15-195&amp;sort=date_disseminated,DESC")</f>
        <v>https://www.fcc.gov/ecfs/search/filings?proceedings_name=15-195&amp;sort=date_disseminated,DESC</v>
      </c>
      <c r="D283" s="16" t="str">
        <f>HYPERLINK("https://apps.fcc.gov/edocs_public/Query.do?docket=15-195")</f>
        <v>https://apps.fcc.gov/edocs_public/Query.do?docket=15-195</v>
      </c>
      <c r="E283" s="5" t="s">
        <v>701</v>
      </c>
      <c r="F283" s="11">
        <v>2</v>
      </c>
      <c r="G283" s="11" t="s">
        <v>224</v>
      </c>
      <c r="H283" s="11" t="s">
        <v>224</v>
      </c>
    </row>
    <row r="284" spans="1:8" s="6" customFormat="1" ht="38.25">
      <c r="A284" s="5" t="s">
        <v>475</v>
      </c>
      <c r="B284" s="5" t="s">
        <v>722</v>
      </c>
      <c r="C284" s="16" t="str">
        <f>HYPERLINK("https://www.fcc.gov/ecfs/search/filings?proceedings_name=15-196&amp;sort=date_disseminated,DESC")</f>
        <v>https://www.fcc.gov/ecfs/search/filings?proceedings_name=15-196&amp;sort=date_disseminated,DESC</v>
      </c>
      <c r="D284" s="16" t="str">
        <f>HYPERLINK("https://apps.fcc.gov/edocs_public/Query.do?docket=15-196")</f>
        <v>https://apps.fcc.gov/edocs_public/Query.do?docket=15-196</v>
      </c>
      <c r="E284" s="5" t="s">
        <v>723</v>
      </c>
      <c r="F284" s="11">
        <v>4</v>
      </c>
      <c r="G284" s="11" t="s">
        <v>724</v>
      </c>
      <c r="H284" s="11" t="s">
        <v>202</v>
      </c>
    </row>
    <row r="285" spans="1:8" s="6" customFormat="1" ht="25.5">
      <c r="A285" s="5" t="s">
        <v>475</v>
      </c>
      <c r="B285" s="5" t="s">
        <v>725</v>
      </c>
      <c r="C285" s="16" t="str">
        <f>HYPERLINK("https://www.fcc.gov/ecfs/search/filings?proceedings_name=15-198&amp;sort=date_disseminated,DESC")</f>
        <v>https://www.fcc.gov/ecfs/search/filings?proceedings_name=15-198&amp;sort=date_disseminated,DESC</v>
      </c>
      <c r="D285" s="16" t="str">
        <f>HYPERLINK("https://apps.fcc.gov/edocs_public/Query.do?docket=15-198")</f>
        <v>https://apps.fcc.gov/edocs_public/Query.do?docket=15-198</v>
      </c>
      <c r="E285" s="5" t="s">
        <v>1150</v>
      </c>
      <c r="F285" s="11">
        <v>2</v>
      </c>
      <c r="G285" s="11" t="s">
        <v>724</v>
      </c>
      <c r="H285" s="11" t="s">
        <v>726</v>
      </c>
    </row>
    <row r="286" spans="1:8" s="6" customFormat="1" ht="25.5">
      <c r="A286" s="5" t="s">
        <v>475</v>
      </c>
      <c r="B286" s="5" t="s">
        <v>727</v>
      </c>
      <c r="C286" s="16" t="str">
        <f>HYPERLINK("https://www.fcc.gov/ecfs/search/filings?proceedings_name=15-200&amp;sort=date_disseminated,DESC")</f>
        <v>https://www.fcc.gov/ecfs/search/filings?proceedings_name=15-200&amp;sort=date_disseminated,DESC</v>
      </c>
      <c r="D286" s="16" t="str">
        <f>HYPERLINK("https://apps.fcc.gov/edocs_public/Query.do?docket=15-200")</f>
        <v>https://apps.fcc.gov/edocs_public/Query.do?docket=15-200</v>
      </c>
      <c r="E286" s="5" t="s">
        <v>1151</v>
      </c>
      <c r="F286" s="11">
        <v>2</v>
      </c>
      <c r="G286" s="11" t="s">
        <v>673</v>
      </c>
      <c r="H286" s="11" t="s">
        <v>673</v>
      </c>
    </row>
    <row r="287" spans="1:8" s="6" customFormat="1" ht="25.5">
      <c r="A287" s="5" t="s">
        <v>475</v>
      </c>
      <c r="B287" s="5" t="s">
        <v>728</v>
      </c>
      <c r="C287" s="16" t="str">
        <f>HYPERLINK("https://www.fcc.gov/ecfs/search/filings?proceedings_name=15-201&amp;sort=date_disseminated,DESC")</f>
        <v>https://www.fcc.gov/ecfs/search/filings?proceedings_name=15-201&amp;sort=date_disseminated,DESC</v>
      </c>
      <c r="D287" s="16" t="str">
        <f>HYPERLINK("https://apps.fcc.gov/edocs_public/Query.do?docket=15-201")</f>
        <v>https://apps.fcc.gov/edocs_public/Query.do?docket=15-201</v>
      </c>
      <c r="E287" s="5" t="s">
        <v>729</v>
      </c>
      <c r="F287" s="11">
        <v>2</v>
      </c>
      <c r="G287" s="11" t="s">
        <v>684</v>
      </c>
      <c r="H287" s="11" t="s">
        <v>684</v>
      </c>
    </row>
    <row r="288" spans="1:8" s="6" customFormat="1" ht="25.5">
      <c r="A288" s="5" t="s">
        <v>475</v>
      </c>
      <c r="B288" s="5" t="s">
        <v>730</v>
      </c>
      <c r="C288" s="16" t="str">
        <f>HYPERLINK("https://www.fcc.gov/ecfs/search/filings?proceedings_name=15-202&amp;sort=date_disseminated,DESC")</f>
        <v>https://www.fcc.gov/ecfs/search/filings?proceedings_name=15-202&amp;sort=date_disseminated,DESC</v>
      </c>
      <c r="D288" s="16" t="str">
        <f>HYPERLINK("https://apps.fcc.gov/edocs_public/Query.do?docket=15-202")</f>
        <v>https://apps.fcc.gov/edocs_public/Query.do?docket=15-202</v>
      </c>
      <c r="E288" s="5" t="s">
        <v>731</v>
      </c>
      <c r="F288" s="11">
        <v>4</v>
      </c>
      <c r="G288" s="11" t="s">
        <v>684</v>
      </c>
      <c r="H288" s="11" t="s">
        <v>422</v>
      </c>
    </row>
    <row r="289" spans="1:8" s="6" customFormat="1" ht="38.25">
      <c r="A289" s="5" t="s">
        <v>475</v>
      </c>
      <c r="B289" s="5" t="s">
        <v>732</v>
      </c>
      <c r="C289" s="16" t="str">
        <f>HYPERLINK("https://www.fcc.gov/ecfs/search/filings?proceedings_name=15-203&amp;sort=date_disseminated,DESC")</f>
        <v>https://www.fcc.gov/ecfs/search/filings?proceedings_name=15-203&amp;sort=date_disseminated,DESC</v>
      </c>
      <c r="D289" s="16" t="str">
        <f>HYPERLINK("https://apps.fcc.gov/edocs_public/Query.do?docket=15-203")</f>
        <v>https://apps.fcc.gov/edocs_public/Query.do?docket=15-203</v>
      </c>
      <c r="E289" s="5" t="s">
        <v>733</v>
      </c>
      <c r="F289" s="11">
        <v>6</v>
      </c>
      <c r="G289" s="11" t="s">
        <v>734</v>
      </c>
      <c r="H289" s="11" t="s">
        <v>34</v>
      </c>
    </row>
    <row r="290" spans="1:8" s="6" customFormat="1" ht="25.5">
      <c r="A290" s="5" t="s">
        <v>475</v>
      </c>
      <c r="B290" s="5" t="s">
        <v>735</v>
      </c>
      <c r="C290" s="16" t="str">
        <f>HYPERLINK("https://www.fcc.gov/ecfs/search/filings?proceedings_name=15-204&amp;sort=date_disseminated,DESC")</f>
        <v>https://www.fcc.gov/ecfs/search/filings?proceedings_name=15-204&amp;sort=date_disseminated,DESC</v>
      </c>
      <c r="D290" s="16" t="str">
        <f>HYPERLINK("https://apps.fcc.gov/edocs_public/Query.do?docket=15-204")</f>
        <v>https://apps.fcc.gov/edocs_public/Query.do?docket=15-204</v>
      </c>
      <c r="E290" s="5" t="s">
        <v>701</v>
      </c>
      <c r="F290" s="11">
        <v>2</v>
      </c>
      <c r="G290" s="11" t="s">
        <v>734</v>
      </c>
      <c r="H290" s="11" t="s">
        <v>734</v>
      </c>
    </row>
    <row r="291" spans="1:8" s="6" customFormat="1" ht="25.5">
      <c r="A291" s="5" t="s">
        <v>475</v>
      </c>
      <c r="B291" s="5" t="s">
        <v>736</v>
      </c>
      <c r="C291" s="16" t="str">
        <f>HYPERLINK("https://www.fcc.gov/ecfs/search/filings?proceedings_name=15-205&amp;sort=date_disseminated,DESC")</f>
        <v>https://www.fcc.gov/ecfs/search/filings?proceedings_name=15-205&amp;sort=date_disseminated,DESC</v>
      </c>
      <c r="D291" s="16" t="str">
        <f>HYPERLINK("https://apps.fcc.gov/edocs_public/Query.do?docket=15-205")</f>
        <v>https://apps.fcc.gov/edocs_public/Query.do?docket=15-205</v>
      </c>
      <c r="E291" s="5" t="s">
        <v>737</v>
      </c>
      <c r="F291" s="11">
        <v>2</v>
      </c>
      <c r="G291" s="11" t="s">
        <v>738</v>
      </c>
      <c r="H291" s="11" t="s">
        <v>739</v>
      </c>
    </row>
    <row r="292" spans="1:8" s="6" customFormat="1" ht="12.75">
      <c r="A292" s="5" t="s">
        <v>475</v>
      </c>
      <c r="B292" s="5" t="s">
        <v>740</v>
      </c>
      <c r="C292" s="16" t="str">
        <f>HYPERLINK("https://www.fcc.gov/ecfs/search/filings?proceedings_name=15-207&amp;sort=date_disseminated,DESC")</f>
        <v>https://www.fcc.gov/ecfs/search/filings?proceedings_name=15-207&amp;sort=date_disseminated,DESC</v>
      </c>
      <c r="D292" s="16" t="str">
        <f>HYPERLINK("https://apps.fcc.gov/edocs_public/Query.do?docket=15-207")</f>
        <v>https://apps.fcc.gov/edocs_public/Query.do?docket=15-207</v>
      </c>
      <c r="E292" s="5" t="s">
        <v>1104</v>
      </c>
      <c r="F292" s="11">
        <v>5</v>
      </c>
      <c r="G292" s="11" t="s">
        <v>739</v>
      </c>
      <c r="H292" s="11" t="s">
        <v>741</v>
      </c>
    </row>
    <row r="293" spans="1:8" s="6" customFormat="1" ht="25.5">
      <c r="A293" s="5" t="s">
        <v>475</v>
      </c>
      <c r="B293" s="5" t="s">
        <v>742</v>
      </c>
      <c r="C293" s="16" t="str">
        <f>HYPERLINK("https://www.fcc.gov/ecfs/search/filings?proceedings_name=15-208&amp;sort=date_disseminated,DESC")</f>
        <v>https://www.fcc.gov/ecfs/search/filings?proceedings_name=15-208&amp;sort=date_disseminated,DESC</v>
      </c>
      <c r="D293" s="16" t="str">
        <f>HYPERLINK("https://apps.fcc.gov/edocs_public/Query.do?docket=15-208")</f>
        <v>https://apps.fcc.gov/edocs_public/Query.do?docket=15-208</v>
      </c>
      <c r="E293" s="5" t="s">
        <v>743</v>
      </c>
      <c r="F293" s="11">
        <v>3</v>
      </c>
      <c r="G293" s="11" t="s">
        <v>27</v>
      </c>
      <c r="H293" s="11" t="s">
        <v>744</v>
      </c>
    </row>
    <row r="294" spans="1:8" s="6" customFormat="1" ht="25.5">
      <c r="A294" s="5" t="s">
        <v>475</v>
      </c>
      <c r="B294" s="5" t="s">
        <v>745</v>
      </c>
      <c r="C294" s="16" t="str">
        <f>HYPERLINK("https://www.fcc.gov/ecfs/search/filings?proceedings_name=15-209&amp;sort=date_disseminated,DESC")</f>
        <v>https://www.fcc.gov/ecfs/search/filings?proceedings_name=15-209&amp;sort=date_disseminated,DESC</v>
      </c>
      <c r="D294" s="16" t="str">
        <f>HYPERLINK("https://apps.fcc.gov/edocs_public/Query.do?docket=15-209")</f>
        <v>https://apps.fcc.gov/edocs_public/Query.do?docket=15-209</v>
      </c>
      <c r="E294" s="5" t="s">
        <v>743</v>
      </c>
      <c r="F294" s="11">
        <v>2</v>
      </c>
      <c r="G294" s="11" t="s">
        <v>27</v>
      </c>
      <c r="H294" s="11" t="s">
        <v>236</v>
      </c>
    </row>
    <row r="295" spans="1:8" s="6" customFormat="1" ht="25.5">
      <c r="A295" s="5" t="s">
        <v>475</v>
      </c>
      <c r="B295" s="5" t="s">
        <v>746</v>
      </c>
      <c r="C295" s="16" t="str">
        <f>HYPERLINK("https://www.fcc.gov/ecfs/search/filings?proceedings_name=15-211&amp;sort=date_disseminated,DESC")</f>
        <v>https://www.fcc.gov/ecfs/search/filings?proceedings_name=15-211&amp;sort=date_disseminated,DESC</v>
      </c>
      <c r="D295" s="16" t="str">
        <f>HYPERLINK("https://apps.fcc.gov/edocs_public/Query.do?docket=15-211")</f>
        <v>https://apps.fcc.gov/edocs_public/Query.do?docket=15-211</v>
      </c>
      <c r="E295" s="5" t="s">
        <v>747</v>
      </c>
      <c r="F295" s="11">
        <v>4</v>
      </c>
      <c r="G295" s="11" t="s">
        <v>236</v>
      </c>
      <c r="H295" s="11" t="s">
        <v>748</v>
      </c>
    </row>
    <row r="296" spans="1:8" s="6" customFormat="1" ht="25.5">
      <c r="A296" s="5" t="s">
        <v>475</v>
      </c>
      <c r="B296" s="5" t="s">
        <v>749</v>
      </c>
      <c r="C296" s="16" t="str">
        <f>HYPERLINK("https://www.fcc.gov/ecfs/search/filings?proceedings_name=15-212&amp;sort=date_disseminated,DESC")</f>
        <v>https://www.fcc.gov/ecfs/search/filings?proceedings_name=15-212&amp;sort=date_disseminated,DESC</v>
      </c>
      <c r="D296" s="16" t="str">
        <f>HYPERLINK("https://apps.fcc.gov/edocs_public/Query.do?docket=15-212")</f>
        <v>https://apps.fcc.gov/edocs_public/Query.do?docket=15-212</v>
      </c>
      <c r="E296" s="5" t="s">
        <v>1150</v>
      </c>
      <c r="F296" s="11">
        <v>2</v>
      </c>
      <c r="G296" s="11" t="s">
        <v>236</v>
      </c>
      <c r="H296" s="11" t="s">
        <v>750</v>
      </c>
    </row>
    <row r="297" spans="1:8" s="6" customFormat="1" ht="25.5">
      <c r="A297" s="5" t="s">
        <v>475</v>
      </c>
      <c r="B297" s="5" t="s">
        <v>751</v>
      </c>
      <c r="C297" s="16" t="str">
        <f>HYPERLINK("https://www.fcc.gov/ecfs/search/filings?proceedings_name=15-213&amp;sort=date_disseminated,DESC")</f>
        <v>https://www.fcc.gov/ecfs/search/filings?proceedings_name=15-213&amp;sort=date_disseminated,DESC</v>
      </c>
      <c r="D297" s="16" t="str">
        <f>HYPERLINK("https://apps.fcc.gov/edocs_public/Query.do?docket=15-213")</f>
        <v>https://apps.fcc.gov/edocs_public/Query.do?docket=15-213</v>
      </c>
      <c r="E297" s="5" t="s">
        <v>752</v>
      </c>
      <c r="F297" s="11">
        <v>2</v>
      </c>
      <c r="G297" s="11" t="s">
        <v>236</v>
      </c>
      <c r="H297" s="11" t="s">
        <v>202</v>
      </c>
    </row>
    <row r="298" spans="1:8" s="6" customFormat="1" ht="25.5">
      <c r="A298" s="5" t="s">
        <v>475</v>
      </c>
      <c r="B298" s="5" t="s">
        <v>753</v>
      </c>
      <c r="C298" s="16" t="str">
        <f>HYPERLINK("https://www.fcc.gov/ecfs/search/filings?proceedings_name=15-214&amp;sort=date_disseminated,DESC")</f>
        <v>https://www.fcc.gov/ecfs/search/filings?proceedings_name=15-214&amp;sort=date_disseminated,DESC</v>
      </c>
      <c r="D298" s="16" t="str">
        <f>HYPERLINK("https://apps.fcc.gov/edocs_public/Query.do?docket=15-214")</f>
        <v>https://apps.fcc.gov/edocs_public/Query.do?docket=15-214</v>
      </c>
      <c r="E298" s="5" t="s">
        <v>754</v>
      </c>
      <c r="F298" s="11">
        <v>2</v>
      </c>
      <c r="G298" s="11" t="s">
        <v>236</v>
      </c>
      <c r="H298" s="11" t="s">
        <v>202</v>
      </c>
    </row>
    <row r="299" spans="1:8" s="6" customFormat="1" ht="25.5">
      <c r="A299" s="5" t="s">
        <v>475</v>
      </c>
      <c r="B299" s="5" t="s">
        <v>755</v>
      </c>
      <c r="C299" s="16" t="str">
        <f>HYPERLINK("https://www.fcc.gov/ecfs/search/filings?proceedings_name=15-217&amp;sort=date_disseminated,DESC")</f>
        <v>https://www.fcc.gov/ecfs/search/filings?proceedings_name=15-217&amp;sort=date_disseminated,DESC</v>
      </c>
      <c r="D299" s="16" t="str">
        <f>HYPERLINK("https://apps.fcc.gov/edocs_public/Query.do?docket=15-217")</f>
        <v>https://apps.fcc.gov/edocs_public/Query.do?docket=15-217</v>
      </c>
      <c r="E299" s="5" t="s">
        <v>756</v>
      </c>
      <c r="F299" s="11">
        <v>5</v>
      </c>
      <c r="G299" s="11" t="s">
        <v>613</v>
      </c>
      <c r="H299" s="11" t="s">
        <v>234</v>
      </c>
    </row>
    <row r="300" spans="1:8" s="6" customFormat="1" ht="25.5">
      <c r="A300" s="5" t="s">
        <v>475</v>
      </c>
      <c r="B300" s="5" t="s">
        <v>757</v>
      </c>
      <c r="C300" s="16" t="str">
        <f>HYPERLINK("https://www.fcc.gov/ecfs/search/filings?proceedings_name=15-219&amp;sort=date_disseminated,DESC")</f>
        <v>https://www.fcc.gov/ecfs/search/filings?proceedings_name=15-219&amp;sort=date_disseminated,DESC</v>
      </c>
      <c r="D300" s="16" t="str">
        <f>HYPERLINK("https://apps.fcc.gov/edocs_public/Query.do?docket=15-219")</f>
        <v>https://apps.fcc.gov/edocs_public/Query.do?docket=15-219</v>
      </c>
      <c r="E300" s="5" t="s">
        <v>758</v>
      </c>
      <c r="F300" s="11">
        <v>2</v>
      </c>
      <c r="G300" s="11" t="s">
        <v>759</v>
      </c>
      <c r="H300" s="11" t="s">
        <v>760</v>
      </c>
    </row>
    <row r="301" spans="1:8" s="6" customFormat="1" ht="38.25">
      <c r="A301" s="5" t="s">
        <v>475</v>
      </c>
      <c r="B301" s="5" t="s">
        <v>761</v>
      </c>
      <c r="C301" s="16" t="str">
        <f>HYPERLINK("https://www.fcc.gov/ecfs/search/filings?proceedings_name=15-222&amp;sort=date_disseminated,DESC")</f>
        <v>https://www.fcc.gov/ecfs/search/filings?proceedings_name=15-222&amp;sort=date_disseminated,DESC</v>
      </c>
      <c r="D301" s="16" t="str">
        <f>HYPERLINK("https://apps.fcc.gov/edocs_public/Query.do?docket=15-222")</f>
        <v>https://apps.fcc.gov/edocs_public/Query.do?docket=15-222</v>
      </c>
      <c r="E301" s="5" t="s">
        <v>762</v>
      </c>
      <c r="F301" s="11">
        <v>2</v>
      </c>
      <c r="G301" s="11" t="s">
        <v>267</v>
      </c>
      <c r="H301" s="11" t="s">
        <v>763</v>
      </c>
    </row>
    <row r="302" spans="1:8" s="6" customFormat="1" ht="25.5">
      <c r="A302" s="5" t="s">
        <v>475</v>
      </c>
      <c r="B302" s="5" t="s">
        <v>764</v>
      </c>
      <c r="C302" s="16" t="str">
        <f>HYPERLINK("https://www.fcc.gov/ecfs/search/filings?proceedings_name=15-223&amp;sort=date_disseminated,DESC")</f>
        <v>https://www.fcc.gov/ecfs/search/filings?proceedings_name=15-223&amp;sort=date_disseminated,DESC</v>
      </c>
      <c r="D302" s="16" t="str">
        <f>HYPERLINK("https://apps.fcc.gov/edocs_public/Query.do?docket=15-223")</f>
        <v>https://apps.fcc.gov/edocs_public/Query.do?docket=15-223</v>
      </c>
      <c r="E302" s="5" t="s">
        <v>765</v>
      </c>
      <c r="F302" s="11">
        <v>2</v>
      </c>
      <c r="G302" s="11" t="s">
        <v>766</v>
      </c>
      <c r="H302" s="11" t="s">
        <v>766</v>
      </c>
    </row>
    <row r="303" spans="1:8" s="6" customFormat="1" ht="25.5">
      <c r="A303" s="5" t="s">
        <v>475</v>
      </c>
      <c r="B303" s="5" t="s">
        <v>767</v>
      </c>
      <c r="C303" s="16" t="str">
        <f>HYPERLINK("https://www.fcc.gov/ecfs/search/filings?proceedings_name=15-227&amp;sort=date_disseminated,DESC")</f>
        <v>https://www.fcc.gov/ecfs/search/filings?proceedings_name=15-227&amp;sort=date_disseminated,DESC</v>
      </c>
      <c r="D303" s="16" t="str">
        <f>HYPERLINK("https://apps.fcc.gov/edocs_public/Query.do?docket=15-227")</f>
        <v>https://apps.fcc.gov/edocs_public/Query.do?docket=15-227</v>
      </c>
      <c r="E303" s="5" t="s">
        <v>768</v>
      </c>
      <c r="F303" s="11">
        <v>2</v>
      </c>
      <c r="G303" s="11" t="s">
        <v>769</v>
      </c>
      <c r="H303" s="11" t="s">
        <v>29</v>
      </c>
    </row>
    <row r="304" spans="1:8" s="6" customFormat="1" ht="25.5">
      <c r="A304" s="5" t="s">
        <v>475</v>
      </c>
      <c r="B304" s="5" t="s">
        <v>770</v>
      </c>
      <c r="C304" s="16" t="str">
        <f>HYPERLINK("https://www.fcc.gov/ecfs/search/filings?proceedings_name=15-228&amp;sort=date_disseminated,DESC")</f>
        <v>https://www.fcc.gov/ecfs/search/filings?proceedings_name=15-228&amp;sort=date_disseminated,DESC</v>
      </c>
      <c r="D304" s="16" t="str">
        <f>HYPERLINK("https://apps.fcc.gov/edocs_public/Query.do?docket=15-228")</f>
        <v>https://apps.fcc.gov/edocs_public/Query.do?docket=15-228</v>
      </c>
      <c r="E304" s="5" t="s">
        <v>1105</v>
      </c>
      <c r="F304" s="11">
        <v>2</v>
      </c>
      <c r="G304" s="11" t="s">
        <v>769</v>
      </c>
      <c r="H304" s="11" t="s">
        <v>744</v>
      </c>
    </row>
    <row r="305" spans="1:8" s="6" customFormat="1" ht="25.5">
      <c r="A305" s="5" t="s">
        <v>475</v>
      </c>
      <c r="B305" s="5" t="s">
        <v>771</v>
      </c>
      <c r="C305" s="16" t="str">
        <f>HYPERLINK("https://www.fcc.gov/ecfs/search/filings?proceedings_name=15-229&amp;sort=date_disseminated,DESC")</f>
        <v>https://www.fcc.gov/ecfs/search/filings?proceedings_name=15-229&amp;sort=date_disseminated,DESC</v>
      </c>
      <c r="D305" s="16" t="str">
        <f>HYPERLINK("https://apps.fcc.gov/edocs_public/Query.do?docket=15-229")</f>
        <v>https://apps.fcc.gov/edocs_public/Query.do?docket=15-229</v>
      </c>
      <c r="E305" s="5" t="s">
        <v>772</v>
      </c>
      <c r="F305" s="11">
        <v>2</v>
      </c>
      <c r="G305" s="11" t="s">
        <v>769</v>
      </c>
      <c r="H305" s="11" t="s">
        <v>744</v>
      </c>
    </row>
    <row r="306" spans="1:8" s="6" customFormat="1" ht="25.5">
      <c r="A306" s="5" t="s">
        <v>475</v>
      </c>
      <c r="B306" s="5" t="s">
        <v>773</v>
      </c>
      <c r="C306" s="16" t="str">
        <f>HYPERLINK("https://www.fcc.gov/ecfs/search/filings?proceedings_name=15-23&amp;sort=date_disseminated,DESC")</f>
        <v>https://www.fcc.gov/ecfs/search/filings?proceedings_name=15-23&amp;sort=date_disseminated,DESC</v>
      </c>
      <c r="D306" s="16" t="str">
        <f>HYPERLINK("https://apps.fcc.gov/edocs_public/Query.do?docket=15-23")</f>
        <v>https://apps.fcc.gov/edocs_public/Query.do?docket=15-23</v>
      </c>
      <c r="E306" s="5" t="s">
        <v>774</v>
      </c>
      <c r="F306" s="11">
        <v>4</v>
      </c>
      <c r="G306" s="11" t="s">
        <v>775</v>
      </c>
      <c r="H306" s="11" t="s">
        <v>241</v>
      </c>
    </row>
    <row r="307" spans="1:8" s="6" customFormat="1" ht="25.5">
      <c r="A307" s="5" t="s">
        <v>475</v>
      </c>
      <c r="B307" s="5" t="s">
        <v>776</v>
      </c>
      <c r="C307" s="16" t="str">
        <f>HYPERLINK("https://www.fcc.gov/ecfs/search/filings?proceedings_name=15-230&amp;sort=date_disseminated,DESC")</f>
        <v>https://www.fcc.gov/ecfs/search/filings?proceedings_name=15-230&amp;sort=date_disseminated,DESC</v>
      </c>
      <c r="D307" s="16" t="str">
        <f>HYPERLINK("https://apps.fcc.gov/edocs_public/Query.do?docket=15-230")</f>
        <v>https://apps.fcc.gov/edocs_public/Query.do?docket=15-230</v>
      </c>
      <c r="E307" s="5" t="s">
        <v>1153</v>
      </c>
      <c r="F307" s="11">
        <v>2</v>
      </c>
      <c r="G307" s="11" t="s">
        <v>237</v>
      </c>
      <c r="H307" s="11" t="s">
        <v>237</v>
      </c>
    </row>
    <row r="308" spans="1:8" s="6" customFormat="1" ht="12.75">
      <c r="A308" s="5" t="s">
        <v>475</v>
      </c>
      <c r="B308" s="5" t="s">
        <v>777</v>
      </c>
      <c r="C308" s="16" t="str">
        <f>HYPERLINK("https://www.fcc.gov/ecfs/search/filings?proceedings_name=15-231&amp;sort=date_disseminated,DESC")</f>
        <v>https://www.fcc.gov/ecfs/search/filings?proceedings_name=15-231&amp;sort=date_disseminated,DESC</v>
      </c>
      <c r="D308" s="16" t="str">
        <f>HYPERLINK("https://apps.fcc.gov/edocs_public/Query.do?docket=15-231")</f>
        <v>https://apps.fcc.gov/edocs_public/Query.do?docket=15-231</v>
      </c>
      <c r="E308" s="5" t="s">
        <v>778</v>
      </c>
      <c r="F308" s="11">
        <v>4</v>
      </c>
      <c r="G308" s="11" t="s">
        <v>237</v>
      </c>
      <c r="H308" s="11" t="s">
        <v>9</v>
      </c>
    </row>
    <row r="309" spans="1:8" s="6" customFormat="1" ht="25.5">
      <c r="A309" s="5" t="s">
        <v>475</v>
      </c>
      <c r="B309" s="5" t="s">
        <v>779</v>
      </c>
      <c r="C309" s="16" t="str">
        <f>HYPERLINK("https://www.fcc.gov/ecfs/search/filings?proceedings_name=15-233&amp;sort=date_disseminated,DESC")</f>
        <v>https://www.fcc.gov/ecfs/search/filings?proceedings_name=15-233&amp;sort=date_disseminated,DESC</v>
      </c>
      <c r="D309" s="16" t="str">
        <f>HYPERLINK("https://apps.fcc.gov/edocs_public/Query.do?docket=15-233")</f>
        <v>https://apps.fcc.gov/edocs_public/Query.do?docket=15-233</v>
      </c>
      <c r="E309" s="5" t="s">
        <v>1150</v>
      </c>
      <c r="F309" s="11">
        <v>2</v>
      </c>
      <c r="G309" s="11" t="s">
        <v>780</v>
      </c>
      <c r="H309" s="11" t="s">
        <v>29</v>
      </c>
    </row>
    <row r="310" spans="1:8" s="6" customFormat="1" ht="25.5">
      <c r="A310" s="5" t="s">
        <v>475</v>
      </c>
      <c r="B310" s="5" t="s">
        <v>781</v>
      </c>
      <c r="C310" s="16" t="str">
        <f>HYPERLINK("https://www.fcc.gov/ecfs/search/filings?proceedings_name=15-234&amp;sort=date_disseminated,DESC")</f>
        <v>https://www.fcc.gov/ecfs/search/filings?proceedings_name=15-234&amp;sort=date_disseminated,DESC</v>
      </c>
      <c r="D310" s="16" t="str">
        <f>HYPERLINK("https://apps.fcc.gov/edocs_public/Query.do?docket=15-234")</f>
        <v>https://apps.fcc.gov/edocs_public/Query.do?docket=15-234</v>
      </c>
      <c r="E310" s="5" t="s">
        <v>701</v>
      </c>
      <c r="F310" s="11">
        <v>2</v>
      </c>
      <c r="G310" s="11" t="s">
        <v>780</v>
      </c>
      <c r="H310" s="11" t="s">
        <v>29</v>
      </c>
    </row>
    <row r="311" spans="1:8" s="6" customFormat="1" ht="25.5">
      <c r="A311" s="5" t="s">
        <v>475</v>
      </c>
      <c r="B311" s="5" t="s">
        <v>782</v>
      </c>
      <c r="C311" s="16" t="str">
        <f>HYPERLINK("https://www.fcc.gov/ecfs/search/filings?proceedings_name=15-235&amp;sort=date_disseminated,DESC")</f>
        <v>https://www.fcc.gov/ecfs/search/filings?proceedings_name=15-235&amp;sort=date_disseminated,DESC</v>
      </c>
      <c r="D311" s="16" t="str">
        <f>HYPERLINK("https://apps.fcc.gov/edocs_public/Query.do?docket=15-235")</f>
        <v>https://apps.fcc.gov/edocs_public/Query.do?docket=15-235</v>
      </c>
      <c r="E311" s="5" t="s">
        <v>783</v>
      </c>
      <c r="F311" s="11">
        <v>5</v>
      </c>
      <c r="G311" s="11" t="s">
        <v>29</v>
      </c>
      <c r="H311" s="11" t="s">
        <v>784</v>
      </c>
    </row>
    <row r="312" spans="1:8" s="6" customFormat="1" ht="25.5">
      <c r="A312" s="5" t="s">
        <v>475</v>
      </c>
      <c r="B312" s="5" t="s">
        <v>785</v>
      </c>
      <c r="C312" s="16" t="str">
        <f>HYPERLINK("https://www.fcc.gov/ecfs/search/filings?proceedings_name=15-237&amp;sort=date_disseminated,DESC")</f>
        <v>https://www.fcc.gov/ecfs/search/filings?proceedings_name=15-237&amp;sort=date_disseminated,DESC</v>
      </c>
      <c r="D312" s="16" t="str">
        <f>HYPERLINK("https://apps.fcc.gov/edocs_public/Query.do?docket=15-237")</f>
        <v>https://apps.fcc.gov/edocs_public/Query.do?docket=15-237</v>
      </c>
      <c r="E312" s="5" t="s">
        <v>743</v>
      </c>
      <c r="F312" s="11">
        <v>2</v>
      </c>
      <c r="G312" s="11" t="s">
        <v>786</v>
      </c>
      <c r="H312" s="11" t="s">
        <v>786</v>
      </c>
    </row>
    <row r="313" spans="1:8" s="6" customFormat="1" ht="25.5">
      <c r="A313" s="5" t="s">
        <v>475</v>
      </c>
      <c r="B313" s="5" t="s">
        <v>787</v>
      </c>
      <c r="C313" s="16" t="str">
        <f>HYPERLINK("https://www.fcc.gov/ecfs/search/filings?proceedings_name=15-239&amp;sort=date_disseminated,DESC")</f>
        <v>https://www.fcc.gov/ecfs/search/filings?proceedings_name=15-239&amp;sort=date_disseminated,DESC</v>
      </c>
      <c r="D313" s="16" t="str">
        <f>HYPERLINK("https://apps.fcc.gov/edocs_public/Query.do?docket=15-239")</f>
        <v>https://apps.fcc.gov/edocs_public/Query.do?docket=15-239</v>
      </c>
      <c r="E313" s="5" t="s">
        <v>743</v>
      </c>
      <c r="F313" s="11">
        <v>2</v>
      </c>
      <c r="G313" s="11" t="s">
        <v>786</v>
      </c>
      <c r="H313" s="11" t="s">
        <v>788</v>
      </c>
    </row>
    <row r="314" spans="1:8" s="6" customFormat="1" ht="25.5">
      <c r="A314" s="5" t="s">
        <v>475</v>
      </c>
      <c r="B314" s="5" t="s">
        <v>789</v>
      </c>
      <c r="C314" s="16" t="str">
        <f>HYPERLINK("https://www.fcc.gov/ecfs/search/filings?proceedings_name=15-240&amp;sort=date_disseminated,DESC")</f>
        <v>https://www.fcc.gov/ecfs/search/filings?proceedings_name=15-240&amp;sort=date_disseminated,DESC</v>
      </c>
      <c r="D314" s="16" t="str">
        <f>HYPERLINK("https://apps.fcc.gov/edocs_public/Query.do?docket=15-240")</f>
        <v>https://apps.fcc.gov/edocs_public/Query.do?docket=15-240</v>
      </c>
      <c r="E314" s="5" t="s">
        <v>790</v>
      </c>
      <c r="F314" s="11">
        <v>3</v>
      </c>
      <c r="G314" s="11" t="s">
        <v>788</v>
      </c>
      <c r="H314" s="11" t="s">
        <v>791</v>
      </c>
    </row>
    <row r="315" spans="1:8" s="6" customFormat="1" ht="25.5">
      <c r="A315" s="5" t="s">
        <v>475</v>
      </c>
      <c r="B315" s="5" t="s">
        <v>792</v>
      </c>
      <c r="C315" s="16" t="str">
        <f>HYPERLINK("https://www.fcc.gov/ecfs/search/filings?proceedings_name=15-241&amp;sort=date_disseminated,DESC")</f>
        <v>https://www.fcc.gov/ecfs/search/filings?proceedings_name=15-241&amp;sort=date_disseminated,DESC</v>
      </c>
      <c r="D315" s="16" t="str">
        <f>HYPERLINK("https://apps.fcc.gov/edocs_public/Query.do?docket=15-241")</f>
        <v>https://apps.fcc.gov/edocs_public/Query.do?docket=15-241</v>
      </c>
      <c r="E315" s="5" t="s">
        <v>620</v>
      </c>
      <c r="F315" s="11">
        <v>3</v>
      </c>
      <c r="G315" s="11" t="s">
        <v>788</v>
      </c>
      <c r="H315" s="11" t="s">
        <v>791</v>
      </c>
    </row>
    <row r="316" spans="1:8" s="6" customFormat="1" ht="25.5">
      <c r="A316" s="5" t="s">
        <v>475</v>
      </c>
      <c r="B316" s="5" t="s">
        <v>793</v>
      </c>
      <c r="C316" s="16" t="str">
        <f>HYPERLINK("https://www.fcc.gov/ecfs/search/filings?proceedings_name=15-243&amp;sort=date_disseminated,DESC")</f>
        <v>https://www.fcc.gov/ecfs/search/filings?proceedings_name=15-243&amp;sort=date_disseminated,DESC</v>
      </c>
      <c r="D316" s="16" t="str">
        <f>HYPERLINK("https://apps.fcc.gov/edocs_public/Query.do?docket=15-243")</f>
        <v>https://apps.fcc.gov/edocs_public/Query.do?docket=15-243</v>
      </c>
      <c r="E316" s="5" t="s">
        <v>826</v>
      </c>
      <c r="F316" s="11">
        <v>2</v>
      </c>
      <c r="G316" s="11" t="s">
        <v>794</v>
      </c>
      <c r="H316" s="11" t="s">
        <v>795</v>
      </c>
    </row>
    <row r="317" spans="1:8" s="6" customFormat="1" ht="25.5">
      <c r="A317" s="5" t="s">
        <v>475</v>
      </c>
      <c r="B317" s="5" t="s">
        <v>796</v>
      </c>
      <c r="C317" s="16" t="str">
        <f>HYPERLINK("https://www.fcc.gov/ecfs/search/filings?proceedings_name=15-246&amp;sort=date_disseminated,DESC")</f>
        <v>https://www.fcc.gov/ecfs/search/filings?proceedings_name=15-246&amp;sort=date_disseminated,DESC</v>
      </c>
      <c r="D317" s="16" t="str">
        <f>HYPERLINK("https://apps.fcc.gov/edocs_public/Query.do?docket=15-246")</f>
        <v>https://apps.fcc.gov/edocs_public/Query.do?docket=15-246</v>
      </c>
      <c r="E317" s="5" t="s">
        <v>797</v>
      </c>
      <c r="F317" s="11">
        <v>10</v>
      </c>
      <c r="G317" s="11" t="s">
        <v>795</v>
      </c>
      <c r="H317" s="11" t="s">
        <v>798</v>
      </c>
    </row>
    <row r="318" spans="1:8" s="6" customFormat="1" ht="25.5">
      <c r="A318" s="5" t="s">
        <v>475</v>
      </c>
      <c r="B318" s="5" t="s">
        <v>799</v>
      </c>
      <c r="C318" s="16" t="str">
        <f>HYPERLINK("https://www.fcc.gov/ecfs/search/filings?proceedings_name=15-248&amp;sort=date_disseminated,DESC")</f>
        <v>https://www.fcc.gov/ecfs/search/filings?proceedings_name=15-248&amp;sort=date_disseminated,DESC</v>
      </c>
      <c r="D318" s="16" t="str">
        <f>HYPERLINK("https://apps.fcc.gov/edocs_public/Query.do?docket=15-248")</f>
        <v>https://apps.fcc.gov/edocs_public/Query.do?docket=15-248</v>
      </c>
      <c r="E318" s="5" t="s">
        <v>800</v>
      </c>
      <c r="F318" s="11">
        <v>2</v>
      </c>
      <c r="G318" s="11" t="s">
        <v>801</v>
      </c>
      <c r="H318" s="11" t="s">
        <v>801</v>
      </c>
    </row>
    <row r="319" spans="1:8" s="6" customFormat="1" ht="25.5">
      <c r="A319" s="5" t="s">
        <v>475</v>
      </c>
      <c r="B319" s="5" t="s">
        <v>803</v>
      </c>
      <c r="C319" s="16" t="str">
        <f>HYPERLINK("https://www.fcc.gov/ecfs/search/filings?proceedings_name=15-252&amp;sort=date_disseminated,DESC")</f>
        <v>https://www.fcc.gov/ecfs/search/filings?proceedings_name=15-252&amp;sort=date_disseminated,DESC</v>
      </c>
      <c r="D319" s="16" t="str">
        <f>HYPERLINK("https://apps.fcc.gov/edocs_public/Query.do?docket=15-252")</f>
        <v>https://apps.fcc.gov/edocs_public/Query.do?docket=15-252</v>
      </c>
      <c r="E319" s="5" t="s">
        <v>701</v>
      </c>
      <c r="F319" s="11">
        <v>2</v>
      </c>
      <c r="G319" s="11" t="s">
        <v>802</v>
      </c>
      <c r="H319" s="11" t="s">
        <v>804</v>
      </c>
    </row>
    <row r="320" spans="1:8" s="6" customFormat="1" ht="25.5">
      <c r="A320" s="5" t="s">
        <v>475</v>
      </c>
      <c r="B320" s="5" t="s">
        <v>805</v>
      </c>
      <c r="C320" s="16" t="str">
        <f>HYPERLINK("https://www.fcc.gov/ecfs/search/filings?proceedings_name=15-253&amp;sort=date_disseminated,DESC")</f>
        <v>https://www.fcc.gov/ecfs/search/filings?proceedings_name=15-253&amp;sort=date_disseminated,DESC</v>
      </c>
      <c r="D320" s="16" t="str">
        <f>HYPERLINK("https://apps.fcc.gov/edocs_public/Query.do?docket=15-253")</f>
        <v>https://apps.fcc.gov/edocs_public/Query.do?docket=15-253</v>
      </c>
      <c r="E320" s="5" t="s">
        <v>806</v>
      </c>
      <c r="F320" s="11">
        <v>2</v>
      </c>
      <c r="G320" s="11" t="s">
        <v>802</v>
      </c>
      <c r="H320" s="11" t="s">
        <v>804</v>
      </c>
    </row>
    <row r="321" spans="1:8" s="6" customFormat="1" ht="25.5">
      <c r="A321" s="5" t="s">
        <v>475</v>
      </c>
      <c r="B321" s="5" t="s">
        <v>807</v>
      </c>
      <c r="C321" s="16" t="str">
        <f>HYPERLINK("https://www.fcc.gov/ecfs/search/filings?proceedings_name=15-254&amp;sort=date_disseminated,DESC")</f>
        <v>https://www.fcc.gov/ecfs/search/filings?proceedings_name=15-254&amp;sort=date_disseminated,DESC</v>
      </c>
      <c r="D321" s="16" t="str">
        <f>HYPERLINK("https://apps.fcc.gov/edocs_public/Query.do?docket=15-254")</f>
        <v>https://apps.fcc.gov/edocs_public/Query.do?docket=15-254</v>
      </c>
      <c r="E321" s="5" t="s">
        <v>1153</v>
      </c>
      <c r="F321" s="11">
        <v>2</v>
      </c>
      <c r="G321" s="11" t="s">
        <v>802</v>
      </c>
      <c r="H321" s="11" t="s">
        <v>804</v>
      </c>
    </row>
    <row r="322" spans="1:8" s="6" customFormat="1" ht="25.5">
      <c r="A322" s="5" t="s">
        <v>475</v>
      </c>
      <c r="B322" s="5" t="s">
        <v>808</v>
      </c>
      <c r="C322" s="16" t="str">
        <f>HYPERLINK("https://www.fcc.gov/ecfs/search/filings?proceedings_name=15-260&amp;sort=date_disseminated,DESC")</f>
        <v>https://www.fcc.gov/ecfs/search/filings?proceedings_name=15-260&amp;sort=date_disseminated,DESC</v>
      </c>
      <c r="D322" s="16" t="str">
        <f>HYPERLINK("https://apps.fcc.gov/edocs_public/Query.do?docket=15-260")</f>
        <v>https://apps.fcc.gov/edocs_public/Query.do?docket=15-260</v>
      </c>
      <c r="E322" s="5" t="s">
        <v>1154</v>
      </c>
      <c r="F322" s="11">
        <v>2</v>
      </c>
      <c r="G322" s="11" t="s">
        <v>809</v>
      </c>
      <c r="H322" s="11" t="s">
        <v>809</v>
      </c>
    </row>
    <row r="323" spans="1:8" s="6" customFormat="1" ht="25.5">
      <c r="A323" s="5" t="s">
        <v>475</v>
      </c>
      <c r="B323" s="5" t="s">
        <v>810</v>
      </c>
      <c r="C323" s="16" t="str">
        <f>HYPERLINK("https://www.fcc.gov/ecfs/search/filings?proceedings_name=15-261&amp;sort=date_disseminated,DESC")</f>
        <v>https://www.fcc.gov/ecfs/search/filings?proceedings_name=15-261&amp;sort=date_disseminated,DESC</v>
      </c>
      <c r="D323" s="16" t="str">
        <f>HYPERLINK("https://apps.fcc.gov/edocs_public/Query.do?docket=15-261")</f>
        <v>https://apps.fcc.gov/edocs_public/Query.do?docket=15-261</v>
      </c>
      <c r="E323" s="5" t="s">
        <v>811</v>
      </c>
      <c r="F323" s="11">
        <v>2</v>
      </c>
      <c r="G323" s="11" t="s">
        <v>809</v>
      </c>
      <c r="H323" s="11" t="s">
        <v>809</v>
      </c>
    </row>
    <row r="324" spans="1:8" s="6" customFormat="1" ht="25.5">
      <c r="A324" s="5" t="s">
        <v>475</v>
      </c>
      <c r="B324" s="5" t="s">
        <v>812</v>
      </c>
      <c r="C324" s="16" t="str">
        <f>HYPERLINK("https://www.fcc.gov/ecfs/search/filings?proceedings_name=15-263&amp;sort=date_disseminated,DESC")</f>
        <v>https://www.fcc.gov/ecfs/search/filings?proceedings_name=15-263&amp;sort=date_disseminated,DESC</v>
      </c>
      <c r="D324" s="16" t="str">
        <f>HYPERLINK("https://apps.fcc.gov/edocs_public/Query.do?docket=15-263")</f>
        <v>https://apps.fcc.gov/edocs_public/Query.do?docket=15-263</v>
      </c>
      <c r="E324" s="5" t="s">
        <v>813</v>
      </c>
      <c r="F324" s="11">
        <v>4</v>
      </c>
      <c r="G324" s="11" t="s">
        <v>814</v>
      </c>
      <c r="H324" s="11" t="s">
        <v>815</v>
      </c>
    </row>
    <row r="325" spans="1:8" s="6" customFormat="1" ht="38.25">
      <c r="A325" s="5" t="s">
        <v>475</v>
      </c>
      <c r="B325" s="5" t="s">
        <v>816</v>
      </c>
      <c r="C325" s="16" t="str">
        <f>HYPERLINK("https://www.fcc.gov/ecfs/search/filings?proceedings_name=15-268&amp;sort=date_disseminated,DESC")</f>
        <v>https://www.fcc.gov/ecfs/search/filings?proceedings_name=15-268&amp;sort=date_disseminated,DESC</v>
      </c>
      <c r="D325" s="16" t="str">
        <f>HYPERLINK("https://apps.fcc.gov/edocs_public/Query.do?docket=15-268")</f>
        <v>https://apps.fcc.gov/edocs_public/Query.do?docket=15-268</v>
      </c>
      <c r="E325" s="5" t="s">
        <v>660</v>
      </c>
      <c r="F325" s="11">
        <v>2</v>
      </c>
      <c r="G325" s="11" t="s">
        <v>760</v>
      </c>
      <c r="H325" s="11" t="s">
        <v>234</v>
      </c>
    </row>
    <row r="326" spans="1:8" s="6" customFormat="1" ht="38.25">
      <c r="A326" s="5" t="s">
        <v>475</v>
      </c>
      <c r="B326" s="5" t="s">
        <v>817</v>
      </c>
      <c r="C326" s="16" t="str">
        <f>HYPERLINK("https://www.fcc.gov/ecfs/search/filings?proceedings_name=15-269&amp;sort=date_disseminated,DESC")</f>
        <v>https://www.fcc.gov/ecfs/search/filings?proceedings_name=15-269&amp;sort=date_disseminated,DESC</v>
      </c>
      <c r="D326" s="16" t="str">
        <f>HYPERLINK("https://apps.fcc.gov/edocs_public/Query.do?docket=15-269")</f>
        <v>https://apps.fcc.gov/edocs_public/Query.do?docket=15-269</v>
      </c>
      <c r="E326" s="5" t="s">
        <v>660</v>
      </c>
      <c r="F326" s="11">
        <v>2</v>
      </c>
      <c r="G326" s="11" t="s">
        <v>760</v>
      </c>
      <c r="H326" s="11" t="s">
        <v>234</v>
      </c>
    </row>
    <row r="327" spans="1:8" s="6" customFormat="1" ht="25.5">
      <c r="A327" s="5" t="s">
        <v>475</v>
      </c>
      <c r="B327" s="5" t="s">
        <v>819</v>
      </c>
      <c r="C327" s="16" t="str">
        <f>HYPERLINK("https://www.fcc.gov/ecfs/search/filings?proceedings_name=15-273&amp;sort=date_disseminated,DESC")</f>
        <v>https://www.fcc.gov/ecfs/search/filings?proceedings_name=15-273&amp;sort=date_disseminated,DESC</v>
      </c>
      <c r="D327" s="16" t="str">
        <f>HYPERLINK("https://apps.fcc.gov/edocs_public/Query.do?docket=15-273")</f>
        <v>https://apps.fcc.gov/edocs_public/Query.do?docket=15-273</v>
      </c>
      <c r="E327" s="5" t="s">
        <v>826</v>
      </c>
      <c r="F327" s="11">
        <v>2</v>
      </c>
      <c r="G327" s="11" t="s">
        <v>282</v>
      </c>
      <c r="H327" s="11" t="s">
        <v>34</v>
      </c>
    </row>
    <row r="328" spans="1:8" s="6" customFormat="1" ht="51">
      <c r="A328" s="5" t="s">
        <v>475</v>
      </c>
      <c r="B328" s="5" t="s">
        <v>820</v>
      </c>
      <c r="C328" s="16" t="str">
        <f>HYPERLINK("https://www.fcc.gov/ecfs/search/filings?proceedings_name=15-278&amp;sort=date_disseminated,DESC")</f>
        <v>https://www.fcc.gov/ecfs/search/filings?proceedings_name=15-278&amp;sort=date_disseminated,DESC</v>
      </c>
      <c r="D328" s="16" t="str">
        <f>HYPERLINK("https://apps.fcc.gov/edocs_public/Query.do?docket=15-278")</f>
        <v>https://apps.fcc.gov/edocs_public/Query.do?docket=15-278</v>
      </c>
      <c r="E328" s="5" t="s">
        <v>821</v>
      </c>
      <c r="F328" s="11">
        <v>4</v>
      </c>
      <c r="G328" s="11" t="s">
        <v>34</v>
      </c>
      <c r="H328" s="11" t="s">
        <v>161</v>
      </c>
    </row>
    <row r="329" spans="1:8" s="6" customFormat="1" ht="51">
      <c r="A329" s="5" t="s">
        <v>475</v>
      </c>
      <c r="B329" s="5" t="s">
        <v>822</v>
      </c>
      <c r="C329" s="16" t="str">
        <f>HYPERLINK("https://www.fcc.gov/ecfs/search/filings?proceedings_name=15-279&amp;sort=date_disseminated,DESC")</f>
        <v>https://www.fcc.gov/ecfs/search/filings?proceedings_name=15-279&amp;sort=date_disseminated,DESC</v>
      </c>
      <c r="D329" s="16" t="str">
        <f>HYPERLINK("https://apps.fcc.gov/edocs_public/Query.do?docket=15-279")</f>
        <v>https://apps.fcc.gov/edocs_public/Query.do?docket=15-279</v>
      </c>
      <c r="E329" s="5" t="s">
        <v>821</v>
      </c>
      <c r="F329" s="11">
        <v>2</v>
      </c>
      <c r="G329" s="11" t="s">
        <v>34</v>
      </c>
      <c r="H329" s="11" t="s">
        <v>161</v>
      </c>
    </row>
    <row r="330" spans="1:8" s="6" customFormat="1" ht="25.5">
      <c r="A330" s="5" t="s">
        <v>475</v>
      </c>
      <c r="B330" s="5" t="s">
        <v>823</v>
      </c>
      <c r="C330" s="16" t="str">
        <f>HYPERLINK("https://www.fcc.gov/ecfs/search/filings?proceedings_name=15-286&amp;sort=date_disseminated,DESC")</f>
        <v>https://www.fcc.gov/ecfs/search/filings?proceedings_name=15-286&amp;sort=date_disseminated,DESC</v>
      </c>
      <c r="D330" s="16" t="str">
        <f>HYPERLINK("https://apps.fcc.gov/edocs_public/Query.do?docket=15-286")</f>
        <v>https://apps.fcc.gov/edocs_public/Query.do?docket=15-286</v>
      </c>
      <c r="E330" s="5" t="s">
        <v>743</v>
      </c>
      <c r="F330" s="11">
        <v>2</v>
      </c>
      <c r="G330" s="11" t="s">
        <v>741</v>
      </c>
      <c r="H330" s="11" t="s">
        <v>824</v>
      </c>
    </row>
    <row r="331" spans="1:8" s="6" customFormat="1" ht="25.5">
      <c r="A331" s="5" t="s">
        <v>475</v>
      </c>
      <c r="B331" s="5" t="s">
        <v>825</v>
      </c>
      <c r="C331" s="16" t="str">
        <f>HYPERLINK("https://www.fcc.gov/ecfs/search/filings?proceedings_name=15-287&amp;sort=date_disseminated,DESC")</f>
        <v>https://www.fcc.gov/ecfs/search/filings?proceedings_name=15-287&amp;sort=date_disseminated,DESC</v>
      </c>
      <c r="D331" s="16" t="str">
        <f>HYPERLINK("https://apps.fcc.gov/edocs_public/Query.do?docket=15-287")</f>
        <v>https://apps.fcc.gov/edocs_public/Query.do?docket=15-287</v>
      </c>
      <c r="E331" s="5" t="s">
        <v>826</v>
      </c>
      <c r="F331" s="11">
        <v>2</v>
      </c>
      <c r="G331" s="11" t="s">
        <v>824</v>
      </c>
      <c r="H331" s="11" t="s">
        <v>824</v>
      </c>
    </row>
    <row r="332" spans="1:8" s="6" customFormat="1" ht="12.75">
      <c r="A332" s="5" t="s">
        <v>475</v>
      </c>
      <c r="B332" s="5" t="s">
        <v>827</v>
      </c>
      <c r="C332" s="16" t="str">
        <f>HYPERLINK("https://www.fcc.gov/ecfs/search/filings?proceedings_name=15-29&amp;sort=date_disseminated,DESC")</f>
        <v>https://www.fcc.gov/ecfs/search/filings?proceedings_name=15-29&amp;sort=date_disseminated,DESC</v>
      </c>
      <c r="D332" s="16" t="str">
        <f>HYPERLINK("https://apps.fcc.gov/edocs_public/Query.do?docket=15-29")</f>
        <v>https://apps.fcc.gov/edocs_public/Query.do?docket=15-29</v>
      </c>
      <c r="E332" s="5" t="s">
        <v>828</v>
      </c>
      <c r="F332" s="11">
        <v>5</v>
      </c>
      <c r="G332" s="11" t="s">
        <v>428</v>
      </c>
      <c r="H332" s="11" t="s">
        <v>595</v>
      </c>
    </row>
    <row r="333" spans="1:8" s="6" customFormat="1" ht="25.5">
      <c r="A333" s="5" t="s">
        <v>475</v>
      </c>
      <c r="B333" s="5" t="s">
        <v>829</v>
      </c>
      <c r="C333" s="16" t="str">
        <f>HYPERLINK("https://www.fcc.gov/ecfs/search/filings?proceedings_name=15-296&amp;sort=date_disseminated,DESC")</f>
        <v>https://www.fcc.gov/ecfs/search/filings?proceedings_name=15-296&amp;sort=date_disseminated,DESC</v>
      </c>
      <c r="D333" s="16" t="str">
        <f>HYPERLINK("https://apps.fcc.gov/edocs_public/Query.do?docket=15-296")</f>
        <v>https://apps.fcc.gov/edocs_public/Query.do?docket=15-296</v>
      </c>
      <c r="E333" s="5" t="s">
        <v>1152</v>
      </c>
      <c r="F333" s="11">
        <v>2</v>
      </c>
      <c r="G333" s="11" t="s">
        <v>830</v>
      </c>
      <c r="H333" s="11" t="s">
        <v>831</v>
      </c>
    </row>
    <row r="334" spans="1:8" s="6" customFormat="1" ht="25.5">
      <c r="A334" s="5" t="s">
        <v>475</v>
      </c>
      <c r="B334" s="5" t="s">
        <v>832</v>
      </c>
      <c r="C334" s="16" t="str">
        <f>HYPERLINK("https://www.fcc.gov/ecfs/search/filings?proceedings_name=15-303&amp;sort=date_disseminated,DESC")</f>
        <v>https://www.fcc.gov/ecfs/search/filings?proceedings_name=15-303&amp;sort=date_disseminated,DESC</v>
      </c>
      <c r="D334" s="16" t="str">
        <f>HYPERLINK("https://apps.fcc.gov/edocs_public/Query.do?docket=15-303")</f>
        <v>https://apps.fcc.gov/edocs_public/Query.do?docket=15-303</v>
      </c>
      <c r="E334" s="5" t="s">
        <v>833</v>
      </c>
      <c r="F334" s="11">
        <v>2</v>
      </c>
      <c r="G334" s="11" t="s">
        <v>539</v>
      </c>
      <c r="H334" s="11" t="s">
        <v>32</v>
      </c>
    </row>
    <row r="335" spans="1:8" s="6" customFormat="1" ht="25.5">
      <c r="A335" s="5" t="s">
        <v>475</v>
      </c>
      <c r="B335" s="5" t="s">
        <v>834</v>
      </c>
      <c r="C335" s="16" t="str">
        <f>HYPERLINK("https://www.fcc.gov/ecfs/search/filings?proceedings_name=15-304&amp;sort=date_disseminated,DESC")</f>
        <v>https://www.fcc.gov/ecfs/search/filings?proceedings_name=15-304&amp;sort=date_disseminated,DESC</v>
      </c>
      <c r="D335" s="16" t="str">
        <f>HYPERLINK("https://apps.fcc.gov/edocs_public/Query.do?docket=15-304")</f>
        <v>https://apps.fcc.gov/edocs_public/Query.do?docket=15-304</v>
      </c>
      <c r="E335" s="5" t="s">
        <v>835</v>
      </c>
      <c r="F335" s="11">
        <v>2</v>
      </c>
      <c r="G335" s="11" t="s">
        <v>539</v>
      </c>
      <c r="H335" s="11" t="s">
        <v>32</v>
      </c>
    </row>
    <row r="336" spans="1:8" s="6" customFormat="1" ht="25.5">
      <c r="A336" s="5" t="s">
        <v>475</v>
      </c>
      <c r="B336" s="5" t="s">
        <v>836</v>
      </c>
      <c r="C336" s="16" t="str">
        <f>HYPERLINK("https://www.fcc.gov/ecfs/search/filings?proceedings_name=15-305&amp;sort=date_disseminated,DESC")</f>
        <v>https://www.fcc.gov/ecfs/search/filings?proceedings_name=15-305&amp;sort=date_disseminated,DESC</v>
      </c>
      <c r="D336" s="16" t="str">
        <f>HYPERLINK("https://apps.fcc.gov/edocs_public/Query.do?docket=15-305")</f>
        <v>https://apps.fcc.gov/edocs_public/Query.do?docket=15-305</v>
      </c>
      <c r="E336" s="5" t="s">
        <v>833</v>
      </c>
      <c r="F336" s="11">
        <v>2</v>
      </c>
      <c r="G336" s="11" t="s">
        <v>539</v>
      </c>
      <c r="H336" s="11" t="s">
        <v>32</v>
      </c>
    </row>
    <row r="337" spans="1:8" s="6" customFormat="1" ht="25.5">
      <c r="A337" s="5" t="s">
        <v>475</v>
      </c>
      <c r="B337" s="5" t="s">
        <v>837</v>
      </c>
      <c r="C337" s="16" t="str">
        <f>HYPERLINK("https://www.fcc.gov/ecfs/search/filings?proceedings_name=15-307&amp;sort=date_disseminated,DESC")</f>
        <v>https://www.fcc.gov/ecfs/search/filings?proceedings_name=15-307&amp;sort=date_disseminated,DESC</v>
      </c>
      <c r="D337" s="16" t="str">
        <f>HYPERLINK("https://apps.fcc.gov/edocs_public/Query.do?docket=15-307")</f>
        <v>https://apps.fcc.gov/edocs_public/Query.do?docket=15-307</v>
      </c>
      <c r="E337" s="5" t="s">
        <v>835</v>
      </c>
      <c r="F337" s="11">
        <v>2</v>
      </c>
      <c r="G337" s="11" t="s">
        <v>539</v>
      </c>
      <c r="H337" s="11" t="s">
        <v>32</v>
      </c>
    </row>
    <row r="338" spans="1:8" s="6" customFormat="1" ht="25.5">
      <c r="A338" s="5" t="s">
        <v>475</v>
      </c>
      <c r="B338" s="5" t="s">
        <v>838</v>
      </c>
      <c r="C338" s="16" t="str">
        <f>HYPERLINK("https://www.fcc.gov/ecfs/search/filings?proceedings_name=15-308&amp;sort=date_disseminated,DESC")</f>
        <v>https://www.fcc.gov/ecfs/search/filings?proceedings_name=15-308&amp;sort=date_disseminated,DESC</v>
      </c>
      <c r="D338" s="16" t="str">
        <f>HYPERLINK("https://apps.fcc.gov/edocs_public/Query.do?docket=15-308")</f>
        <v>https://apps.fcc.gov/edocs_public/Query.do?docket=15-308</v>
      </c>
      <c r="E338" s="5" t="s">
        <v>839</v>
      </c>
      <c r="F338" s="11">
        <v>2</v>
      </c>
      <c r="G338" s="11" t="s">
        <v>539</v>
      </c>
      <c r="H338" s="11" t="s">
        <v>32</v>
      </c>
    </row>
    <row r="339" spans="1:8" s="6" customFormat="1" ht="25.5">
      <c r="A339" s="5" t="s">
        <v>475</v>
      </c>
      <c r="B339" s="5" t="s">
        <v>840</v>
      </c>
      <c r="C339" s="16" t="str">
        <f>HYPERLINK("https://www.fcc.gov/ecfs/search/filings?proceedings_name=15-309&amp;sort=date_disseminated,DESC")</f>
        <v>https://www.fcc.gov/ecfs/search/filings?proceedings_name=15-309&amp;sort=date_disseminated,DESC</v>
      </c>
      <c r="D339" s="16" t="str">
        <f>HYPERLINK("https://apps.fcc.gov/edocs_public/Query.do?docket=15-309")</f>
        <v>https://apps.fcc.gov/edocs_public/Query.do?docket=15-309</v>
      </c>
      <c r="E339" s="5" t="s">
        <v>835</v>
      </c>
      <c r="F339" s="11">
        <v>2</v>
      </c>
      <c r="G339" s="11" t="s">
        <v>539</v>
      </c>
      <c r="H339" s="11" t="s">
        <v>32</v>
      </c>
    </row>
    <row r="340" spans="1:8" s="6" customFormat="1" ht="38.25">
      <c r="A340" s="5" t="s">
        <v>475</v>
      </c>
      <c r="B340" s="5" t="s">
        <v>841</v>
      </c>
      <c r="C340" s="16" t="str">
        <f>HYPERLINK("https://www.fcc.gov/ecfs/search/filings?proceedings_name=15-31&amp;sort=date_disseminated,DESC")</f>
        <v>https://www.fcc.gov/ecfs/search/filings?proceedings_name=15-31&amp;sort=date_disseminated,DESC</v>
      </c>
      <c r="D340" s="16" t="str">
        <f>HYPERLINK("https://apps.fcc.gov/edocs_public/Query.do?docket=15-31")</f>
        <v>https://apps.fcc.gov/edocs_public/Query.do?docket=15-31</v>
      </c>
      <c r="E340" s="5" t="s">
        <v>723</v>
      </c>
      <c r="F340" s="11">
        <v>8</v>
      </c>
      <c r="G340" s="11" t="s">
        <v>428</v>
      </c>
      <c r="H340" s="11" t="s">
        <v>608</v>
      </c>
    </row>
    <row r="341" spans="1:8" s="6" customFormat="1" ht="25.5">
      <c r="A341" s="5" t="s">
        <v>475</v>
      </c>
      <c r="B341" s="5" t="s">
        <v>842</v>
      </c>
      <c r="C341" s="16" t="str">
        <f>HYPERLINK("https://www.fcc.gov/ecfs/search/filings?proceedings_name=15-310&amp;sort=date_disseminated,DESC")</f>
        <v>https://www.fcc.gov/ecfs/search/filings?proceedings_name=15-310&amp;sort=date_disseminated,DESC</v>
      </c>
      <c r="D341" s="16" t="str">
        <f>HYPERLINK("https://apps.fcc.gov/edocs_public/Query.do?docket=15-310")</f>
        <v>https://apps.fcc.gov/edocs_public/Query.do?docket=15-310</v>
      </c>
      <c r="E341" s="5" t="s">
        <v>754</v>
      </c>
      <c r="F341" s="11">
        <v>2</v>
      </c>
      <c r="G341" s="11" t="s">
        <v>539</v>
      </c>
      <c r="H341" s="11" t="s">
        <v>32</v>
      </c>
    </row>
    <row r="342" spans="1:8" s="6" customFormat="1" ht="25.5">
      <c r="A342" s="5" t="s">
        <v>475</v>
      </c>
      <c r="B342" s="5" t="s">
        <v>843</v>
      </c>
      <c r="C342" s="16" t="str">
        <f>HYPERLINK("https://www.fcc.gov/ecfs/search/filings?proceedings_name=15-311&amp;sort=date_disseminated,DESC")</f>
        <v>https://www.fcc.gov/ecfs/search/filings?proceedings_name=15-311&amp;sort=date_disseminated,DESC</v>
      </c>
      <c r="D342" s="16" t="str">
        <f>HYPERLINK("https://apps.fcc.gov/edocs_public/Query.do?docket=15-311")</f>
        <v>https://apps.fcc.gov/edocs_public/Query.do?docket=15-311</v>
      </c>
      <c r="E342" s="5" t="s">
        <v>754</v>
      </c>
      <c r="F342" s="11">
        <v>2</v>
      </c>
      <c r="G342" s="11" t="s">
        <v>539</v>
      </c>
      <c r="H342" s="11" t="s">
        <v>32</v>
      </c>
    </row>
    <row r="343" spans="1:8" s="6" customFormat="1" ht="25.5">
      <c r="A343" s="5" t="s">
        <v>475</v>
      </c>
      <c r="B343" s="5" t="s">
        <v>844</v>
      </c>
      <c r="C343" s="16" t="str">
        <f>HYPERLINK("https://www.fcc.gov/ecfs/search/filings?proceedings_name=15-312&amp;sort=date_disseminated,DESC")</f>
        <v>https://www.fcc.gov/ecfs/search/filings?proceedings_name=15-312&amp;sort=date_disseminated,DESC</v>
      </c>
      <c r="D343" s="16" t="str">
        <f>HYPERLINK("https://apps.fcc.gov/edocs_public/Query.do?docket=15-312")</f>
        <v>https://apps.fcc.gov/edocs_public/Query.do?docket=15-312</v>
      </c>
      <c r="E343" s="5" t="s">
        <v>845</v>
      </c>
      <c r="F343" s="11">
        <v>3</v>
      </c>
      <c r="G343" s="11" t="s">
        <v>539</v>
      </c>
      <c r="H343" s="11" t="s">
        <v>32</v>
      </c>
    </row>
    <row r="344" spans="1:8" s="6" customFormat="1" ht="25.5">
      <c r="A344" s="5" t="s">
        <v>475</v>
      </c>
      <c r="B344" s="5" t="s">
        <v>846</v>
      </c>
      <c r="C344" s="16" t="str">
        <f>HYPERLINK("https://www.fcc.gov/ecfs/search/filings?proceedings_name=15-323&amp;sort=date_disseminated,DESC")</f>
        <v>https://www.fcc.gov/ecfs/search/filings?proceedings_name=15-323&amp;sort=date_disseminated,DESC</v>
      </c>
      <c r="D344" s="16" t="str">
        <f>HYPERLINK("https://apps.fcc.gov/edocs_public/Query.do?docket=15-323")</f>
        <v>https://apps.fcc.gov/edocs_public/Query.do?docket=15-323</v>
      </c>
      <c r="E344" s="5" t="s">
        <v>1155</v>
      </c>
      <c r="F344" s="11">
        <v>2</v>
      </c>
      <c r="G344" s="11" t="s">
        <v>847</v>
      </c>
      <c r="H344" s="11" t="s">
        <v>847</v>
      </c>
    </row>
    <row r="345" spans="1:8" s="6" customFormat="1" ht="38.25">
      <c r="A345" s="5" t="s">
        <v>475</v>
      </c>
      <c r="B345" s="5" t="s">
        <v>848</v>
      </c>
      <c r="C345" s="16" t="str">
        <f>HYPERLINK("https://www.fcc.gov/ecfs/search/filings?proceedings_name=15-35&amp;sort=date_disseminated,DESC")</f>
        <v>https://www.fcc.gov/ecfs/search/filings?proceedings_name=15-35&amp;sort=date_disseminated,DESC</v>
      </c>
      <c r="D345" s="16" t="str">
        <f>HYPERLINK("https://apps.fcc.gov/edocs_public/Query.do?docket=15-35")</f>
        <v>https://apps.fcc.gov/edocs_public/Query.do?docket=15-35</v>
      </c>
      <c r="E345" s="5" t="s">
        <v>849</v>
      </c>
      <c r="F345" s="11">
        <v>7</v>
      </c>
      <c r="G345" s="11" t="s">
        <v>36</v>
      </c>
      <c r="H345" s="11" t="s">
        <v>850</v>
      </c>
    </row>
    <row r="346" spans="1:8" s="6" customFormat="1" ht="38.25">
      <c r="A346" s="5" t="s">
        <v>475</v>
      </c>
      <c r="B346" s="5" t="s">
        <v>851</v>
      </c>
      <c r="C346" s="16" t="str">
        <f>HYPERLINK("https://www.fcc.gov/ecfs/search/filings?proceedings_name=15-38&amp;sort=date_disseminated,DESC")</f>
        <v>https://www.fcc.gov/ecfs/search/filings?proceedings_name=15-38&amp;sort=date_disseminated,DESC</v>
      </c>
      <c r="D346" s="16" t="str">
        <f>HYPERLINK("https://apps.fcc.gov/edocs_public/Query.do?docket=15-38")</f>
        <v>https://apps.fcc.gov/edocs_public/Query.do?docket=15-38</v>
      </c>
      <c r="E346" s="5" t="s">
        <v>852</v>
      </c>
      <c r="F346" s="11">
        <v>4</v>
      </c>
      <c r="G346" s="11" t="s">
        <v>240</v>
      </c>
      <c r="H346" s="11" t="s">
        <v>427</v>
      </c>
    </row>
    <row r="347" spans="1:8" s="6" customFormat="1" ht="25.5">
      <c r="A347" s="5" t="s">
        <v>475</v>
      </c>
      <c r="B347" s="5" t="s">
        <v>853</v>
      </c>
      <c r="C347" s="16" t="str">
        <f>HYPERLINK("https://www.fcc.gov/ecfs/search/filings?proceedings_name=15-39&amp;sort=date_disseminated,DESC")</f>
        <v>https://www.fcc.gov/ecfs/search/filings?proceedings_name=15-39&amp;sort=date_disseminated,DESC</v>
      </c>
      <c r="D347" s="16" t="str">
        <f>HYPERLINK("https://apps.fcc.gov/edocs_public/Query.do?docket=15-39")</f>
        <v>https://apps.fcc.gov/edocs_public/Query.do?docket=15-39</v>
      </c>
      <c r="E347" s="5" t="s">
        <v>1152</v>
      </c>
      <c r="F347" s="11">
        <v>3</v>
      </c>
      <c r="G347" s="11" t="s">
        <v>854</v>
      </c>
      <c r="H347" s="11" t="s">
        <v>146</v>
      </c>
    </row>
    <row r="348" spans="1:8" s="6" customFormat="1" ht="38.25">
      <c r="A348" s="5" t="s">
        <v>475</v>
      </c>
      <c r="B348" s="5" t="s">
        <v>855</v>
      </c>
      <c r="C348" s="16" t="str">
        <f>HYPERLINK("https://www.fcc.gov/ecfs/search/filings?proceedings_name=15-4&amp;sort=date_disseminated,DESC")</f>
        <v>https://www.fcc.gov/ecfs/search/filings?proceedings_name=15-4&amp;sort=date_disseminated,DESC</v>
      </c>
      <c r="D348" s="16" t="str">
        <f>HYPERLINK("https://apps.fcc.gov/edocs_public/Query.do?docket=15-4")</f>
        <v>https://apps.fcc.gov/edocs_public/Query.do?docket=15-4</v>
      </c>
      <c r="E348" s="5" t="s">
        <v>856</v>
      </c>
      <c r="F348" s="11">
        <v>5</v>
      </c>
      <c r="G348" s="11" t="s">
        <v>857</v>
      </c>
      <c r="H348" s="11" t="s">
        <v>854</v>
      </c>
    </row>
    <row r="349" spans="1:8" s="6" customFormat="1" ht="25.5">
      <c r="A349" s="5" t="s">
        <v>475</v>
      </c>
      <c r="B349" s="5" t="s">
        <v>859</v>
      </c>
      <c r="C349" s="16" t="str">
        <f>HYPERLINK("https://www.fcc.gov/ecfs/search/filings?proceedings_name=15-49&amp;sort=date_disseminated,DESC")</f>
        <v>https://www.fcc.gov/ecfs/search/filings?proceedings_name=15-49&amp;sort=date_disseminated,DESC</v>
      </c>
      <c r="D349" s="16" t="str">
        <f>HYPERLINK("https://apps.fcc.gov/edocs_public/Query.do?docket=15-49")</f>
        <v>https://apps.fcc.gov/edocs_public/Query.do?docket=15-49</v>
      </c>
      <c r="E349" s="5" t="s">
        <v>860</v>
      </c>
      <c r="F349" s="11">
        <v>5</v>
      </c>
      <c r="G349" s="11" t="s">
        <v>13</v>
      </c>
      <c r="H349" s="11" t="s">
        <v>9</v>
      </c>
    </row>
    <row r="350" spans="1:8" s="6" customFormat="1" ht="25.5">
      <c r="A350" s="5" t="s">
        <v>475</v>
      </c>
      <c r="B350" s="5" t="s">
        <v>861</v>
      </c>
      <c r="C350" s="16" t="str">
        <f>HYPERLINK("https://www.fcc.gov/ecfs/search/filings?proceedings_name=15-5&amp;sort=date_disseminated,DESC")</f>
        <v>https://www.fcc.gov/ecfs/search/filings?proceedings_name=15-5&amp;sort=date_disseminated,DESC</v>
      </c>
      <c r="D350" s="16" t="str">
        <f>HYPERLINK("https://apps.fcc.gov/edocs_public/Query.do?docket=15-5")</f>
        <v>https://apps.fcc.gov/edocs_public/Query.do?docket=15-5</v>
      </c>
      <c r="E350" s="5" t="s">
        <v>862</v>
      </c>
      <c r="F350" s="11">
        <v>5</v>
      </c>
      <c r="G350" s="11" t="s">
        <v>863</v>
      </c>
      <c r="H350" s="11" t="s">
        <v>858</v>
      </c>
    </row>
    <row r="351" spans="1:8" s="6" customFormat="1" ht="25.5">
      <c r="A351" s="5" t="s">
        <v>475</v>
      </c>
      <c r="B351" s="5" t="s">
        <v>864</v>
      </c>
      <c r="C351" s="16" t="str">
        <f>HYPERLINK("https://www.fcc.gov/ecfs/search/filings?proceedings_name=15-50&amp;sort=date_disseminated,DESC")</f>
        <v>https://www.fcc.gov/ecfs/search/filings?proceedings_name=15-50&amp;sort=date_disseminated,DESC</v>
      </c>
      <c r="D351" s="16" t="str">
        <f>HYPERLINK("https://apps.fcc.gov/edocs_public/Query.do?docket=15-50")</f>
        <v>https://apps.fcc.gov/edocs_public/Query.do?docket=15-50</v>
      </c>
      <c r="E351" s="5" t="s">
        <v>865</v>
      </c>
      <c r="F351" s="11">
        <v>2</v>
      </c>
      <c r="G351" s="11" t="s">
        <v>241</v>
      </c>
      <c r="H351" s="11" t="s">
        <v>866</v>
      </c>
    </row>
    <row r="352" spans="1:8" s="6" customFormat="1" ht="25.5">
      <c r="A352" s="5" t="s">
        <v>475</v>
      </c>
      <c r="B352" s="5" t="s">
        <v>867</v>
      </c>
      <c r="C352" s="16" t="str">
        <f>HYPERLINK("https://www.fcc.gov/ecfs/search/filings?proceedings_name=15-51&amp;sort=date_disseminated,DESC")</f>
        <v>https://www.fcc.gov/ecfs/search/filings?proceedings_name=15-51&amp;sort=date_disseminated,DESC</v>
      </c>
      <c r="D352" s="16" t="str">
        <f>HYPERLINK("https://apps.fcc.gov/edocs_public/Query.do?docket=15-51")</f>
        <v>https://apps.fcc.gov/edocs_public/Query.do?docket=15-51</v>
      </c>
      <c r="E352" s="5" t="s">
        <v>865</v>
      </c>
      <c r="F352" s="11">
        <v>2</v>
      </c>
      <c r="G352" s="11" t="s">
        <v>241</v>
      </c>
      <c r="H352" s="11" t="s">
        <v>254</v>
      </c>
    </row>
    <row r="353" spans="1:8" s="6" customFormat="1" ht="25.5">
      <c r="A353" s="5" t="s">
        <v>475</v>
      </c>
      <c r="B353" s="5" t="s">
        <v>868</v>
      </c>
      <c r="C353" s="16" t="str">
        <f>HYPERLINK("https://www.fcc.gov/ecfs/search/filings?proceedings_name=15-6&amp;sort=date_disseminated,DESC")</f>
        <v>https://www.fcc.gov/ecfs/search/filings?proceedings_name=15-6&amp;sort=date_disseminated,DESC</v>
      </c>
      <c r="D353" s="16" t="str">
        <f>HYPERLINK("https://apps.fcc.gov/edocs_public/Query.do?docket=15-6")</f>
        <v>https://apps.fcc.gov/edocs_public/Query.do?docket=15-6</v>
      </c>
      <c r="E353" s="5" t="s">
        <v>869</v>
      </c>
      <c r="F353" s="11">
        <v>5</v>
      </c>
      <c r="G353" s="11" t="s">
        <v>863</v>
      </c>
      <c r="H353" s="11" t="s">
        <v>870</v>
      </c>
    </row>
    <row r="354" spans="1:8" s="6" customFormat="1" ht="25.5">
      <c r="A354" s="5" t="s">
        <v>475</v>
      </c>
      <c r="B354" s="5" t="s">
        <v>871</v>
      </c>
      <c r="C354" s="16" t="str">
        <f>HYPERLINK("https://www.fcc.gov/ecfs/search/filings?proceedings_name=15-61&amp;sort=date_disseminated,DESC")</f>
        <v>https://www.fcc.gov/ecfs/search/filings?proceedings_name=15-61&amp;sort=date_disseminated,DESC</v>
      </c>
      <c r="D354" s="16" t="str">
        <f>HYPERLINK("https://apps.fcc.gov/edocs_public/Query.do?docket=15-61")</f>
        <v>https://apps.fcc.gov/edocs_public/Query.do?docket=15-61</v>
      </c>
      <c r="E354" s="5" t="s">
        <v>690</v>
      </c>
      <c r="F354" s="11">
        <v>2</v>
      </c>
      <c r="G354" s="11" t="s">
        <v>818</v>
      </c>
      <c r="H354" s="21">
        <v>42081</v>
      </c>
    </row>
    <row r="355" spans="1:8" s="6" customFormat="1" ht="25.5">
      <c r="A355" s="5" t="s">
        <v>475</v>
      </c>
      <c r="B355" s="5" t="s">
        <v>872</v>
      </c>
      <c r="C355" s="16" t="str">
        <f>HYPERLINK("https://www.fcc.gov/ecfs/search/filings?proceedings_name=15-62&amp;sort=date_disseminated,DESC")</f>
        <v>https://www.fcc.gov/ecfs/search/filings?proceedings_name=15-62&amp;sort=date_disseminated,DESC</v>
      </c>
      <c r="D355" s="16" t="str">
        <f>HYPERLINK("https://apps.fcc.gov/edocs_public/Query.do?docket=15-62")</f>
        <v>https://apps.fcc.gov/edocs_public/Query.do?docket=15-62</v>
      </c>
      <c r="E355" s="5" t="s">
        <v>758</v>
      </c>
      <c r="F355" s="11">
        <v>2</v>
      </c>
      <c r="G355" s="11" t="s">
        <v>818</v>
      </c>
      <c r="H355" s="11" t="s">
        <v>49</v>
      </c>
    </row>
    <row r="356" spans="1:8" s="6" customFormat="1" ht="25.5">
      <c r="A356" s="5" t="s">
        <v>475</v>
      </c>
      <c r="B356" s="5" t="s">
        <v>873</v>
      </c>
      <c r="C356" s="16" t="str">
        <f>HYPERLINK("https://www.fcc.gov/ecfs/search/filings?proceedings_name=15-63&amp;sort=date_disseminated,DESC")</f>
        <v>https://www.fcc.gov/ecfs/search/filings?proceedings_name=15-63&amp;sort=date_disseminated,DESC</v>
      </c>
      <c r="D356" s="16" t="str">
        <f>HYPERLINK("https://apps.fcc.gov/edocs_public/Query.do?docket=15-63")</f>
        <v>https://apps.fcc.gov/edocs_public/Query.do?docket=15-63</v>
      </c>
      <c r="E356" s="5" t="s">
        <v>758</v>
      </c>
      <c r="F356" s="11">
        <v>2</v>
      </c>
      <c r="G356" s="11" t="s">
        <v>818</v>
      </c>
      <c r="H356" s="11" t="s">
        <v>49</v>
      </c>
    </row>
    <row r="357" spans="1:8" s="6" customFormat="1" ht="25.5">
      <c r="A357" s="5" t="s">
        <v>475</v>
      </c>
      <c r="B357" s="5" t="s">
        <v>874</v>
      </c>
      <c r="C357" s="16" t="str">
        <f>HYPERLINK("https://www.fcc.gov/ecfs/search/filings?proceedings_name=15-66&amp;sort=date_disseminated,DESC")</f>
        <v>https://www.fcc.gov/ecfs/search/filings?proceedings_name=15-66&amp;sort=date_disseminated,DESC</v>
      </c>
      <c r="D357" s="16" t="str">
        <f>HYPERLINK("https://apps.fcc.gov/edocs_public/Query.do?docket=15-66")</f>
        <v>https://apps.fcc.gov/edocs_public/Query.do?docket=15-66</v>
      </c>
      <c r="E357" s="5" t="s">
        <v>875</v>
      </c>
      <c r="F357" s="11">
        <v>2</v>
      </c>
      <c r="G357" s="11" t="s">
        <v>876</v>
      </c>
      <c r="H357" s="11" t="s">
        <v>462</v>
      </c>
    </row>
    <row r="358" spans="1:8" s="6" customFormat="1" ht="25.5">
      <c r="A358" s="5" t="s">
        <v>475</v>
      </c>
      <c r="B358" s="5" t="s">
        <v>878</v>
      </c>
      <c r="C358" s="16" t="str">
        <f>HYPERLINK("https://www.fcc.gov/ecfs/search/filings?proceedings_name=15-76&amp;sort=date_disseminated,DESC")</f>
        <v>https://www.fcc.gov/ecfs/search/filings?proceedings_name=15-76&amp;sort=date_disseminated,DESC</v>
      </c>
      <c r="D358" s="16" t="str">
        <f>HYPERLINK("https://apps.fcc.gov/edocs_public/Query.do?docket=15-76")</f>
        <v>https://apps.fcc.gov/edocs_public/Query.do?docket=15-76</v>
      </c>
      <c r="E358" s="5" t="s">
        <v>879</v>
      </c>
      <c r="F358" s="11">
        <v>2</v>
      </c>
      <c r="G358" s="11" t="s">
        <v>877</v>
      </c>
      <c r="H358" s="11" t="s">
        <v>256</v>
      </c>
    </row>
    <row r="359" spans="1:8" s="6" customFormat="1" ht="25.5">
      <c r="A359" s="5" t="s">
        <v>475</v>
      </c>
      <c r="B359" s="5" t="s">
        <v>880</v>
      </c>
      <c r="C359" s="16" t="str">
        <f>HYPERLINK("https://www.fcc.gov/ecfs/search/filings?proceedings_name=15-77&amp;sort=date_disseminated,DESC")</f>
        <v>https://www.fcc.gov/ecfs/search/filings?proceedings_name=15-77&amp;sort=date_disseminated,DESC</v>
      </c>
      <c r="D359" s="16" t="str">
        <f>HYPERLINK("https://apps.fcc.gov/edocs_public/Query.do?docket=15-77")</f>
        <v>https://apps.fcc.gov/edocs_public/Query.do?docket=15-77</v>
      </c>
      <c r="E359" s="5" t="s">
        <v>656</v>
      </c>
      <c r="F359" s="11">
        <v>4</v>
      </c>
      <c r="G359" s="11" t="s">
        <v>469</v>
      </c>
      <c r="H359" s="11" t="s">
        <v>257</v>
      </c>
    </row>
    <row r="360" spans="1:8" s="6" customFormat="1" ht="25.5">
      <c r="A360" s="5" t="s">
        <v>475</v>
      </c>
      <c r="B360" s="5" t="s">
        <v>881</v>
      </c>
      <c r="C360" s="16" t="str">
        <f>HYPERLINK("https://www.fcc.gov/ecfs/search/filings?proceedings_name=15-83&amp;sort=date_disseminated,DESC")</f>
        <v>https://www.fcc.gov/ecfs/search/filings?proceedings_name=15-83&amp;sort=date_disseminated,DESC</v>
      </c>
      <c r="D360" s="16" t="str">
        <f>HYPERLINK("https://apps.fcc.gov/edocs_public/Query.do?docket=15-83")</f>
        <v>https://apps.fcc.gov/edocs_public/Query.do?docket=15-83</v>
      </c>
      <c r="E360" s="5" t="s">
        <v>1150</v>
      </c>
      <c r="F360" s="11">
        <v>2</v>
      </c>
      <c r="G360" s="11" t="s">
        <v>882</v>
      </c>
      <c r="H360" s="11" t="s">
        <v>883</v>
      </c>
    </row>
    <row r="361" spans="1:8" s="6" customFormat="1" ht="25.5">
      <c r="A361" s="5" t="s">
        <v>475</v>
      </c>
      <c r="B361" s="5" t="s">
        <v>884</v>
      </c>
      <c r="C361" s="16" t="str">
        <f>HYPERLINK("https://www.fcc.gov/ecfs/search/filings?proceedings_name=15-84&amp;sort=date_disseminated,DESC")</f>
        <v>https://www.fcc.gov/ecfs/search/filings?proceedings_name=15-84&amp;sort=date_disseminated,DESC</v>
      </c>
      <c r="D361" s="16" t="str">
        <f>HYPERLINK("https://apps.fcc.gov/edocs_public/Query.do?docket=15-84")</f>
        <v>https://apps.fcc.gov/edocs_public/Query.do?docket=15-84</v>
      </c>
      <c r="E361" s="5" t="s">
        <v>1150</v>
      </c>
      <c r="F361" s="11">
        <v>2</v>
      </c>
      <c r="G361" s="11" t="s">
        <v>882</v>
      </c>
      <c r="H361" s="11" t="s">
        <v>883</v>
      </c>
    </row>
    <row r="362" spans="1:8" s="6" customFormat="1" ht="25.5">
      <c r="A362" s="5" t="s">
        <v>475</v>
      </c>
      <c r="B362" s="5" t="s">
        <v>885</v>
      </c>
      <c r="C362" s="16" t="str">
        <f>HYPERLINK("https://www.fcc.gov/ecfs/search/filings?proceedings_name=15-89&amp;sort=date_disseminated,DESC")</f>
        <v>https://www.fcc.gov/ecfs/search/filings?proceedings_name=15-89&amp;sort=date_disseminated,DESC</v>
      </c>
      <c r="D362" s="16" t="str">
        <f>HYPERLINK("https://apps.fcc.gov/edocs_public/Query.do?docket=15-89")</f>
        <v>https://apps.fcc.gov/edocs_public/Query.do?docket=15-89</v>
      </c>
      <c r="E362" s="5" t="s">
        <v>886</v>
      </c>
      <c r="F362" s="11">
        <v>3</v>
      </c>
      <c r="G362" s="11" t="s">
        <v>427</v>
      </c>
      <c r="H362" s="11" t="s">
        <v>255</v>
      </c>
    </row>
    <row r="363" spans="1:8" s="6" customFormat="1" ht="25.5">
      <c r="A363" s="5" t="s">
        <v>475</v>
      </c>
      <c r="B363" s="5" t="s">
        <v>887</v>
      </c>
      <c r="C363" s="16" t="str">
        <f>HYPERLINK("https://www.fcc.gov/ecfs/search/filings?proceedings_name=15-93&amp;sort=date_disseminated,DESC")</f>
        <v>https://www.fcc.gov/ecfs/search/filings?proceedings_name=15-93&amp;sort=date_disseminated,DESC</v>
      </c>
      <c r="D363" s="16" t="str">
        <f>HYPERLINK("https://apps.fcc.gov/edocs_public/Query.do?docket=15-93")</f>
        <v>https://apps.fcc.gov/edocs_public/Query.do?docket=15-93</v>
      </c>
      <c r="E363" s="5" t="s">
        <v>620</v>
      </c>
      <c r="F363" s="11">
        <v>2</v>
      </c>
      <c r="G363" s="11" t="s">
        <v>415</v>
      </c>
      <c r="H363" s="11" t="s">
        <v>415</v>
      </c>
    </row>
    <row r="364" spans="1:8" s="6" customFormat="1" ht="25.5">
      <c r="A364" s="5" t="s">
        <v>475</v>
      </c>
      <c r="B364" s="5" t="s">
        <v>888</v>
      </c>
      <c r="C364" s="16" t="str">
        <f>HYPERLINK("https://www.fcc.gov/ecfs/search/filings?proceedings_name=15-95&amp;sort=date_disseminated,DESC")</f>
        <v>https://www.fcc.gov/ecfs/search/filings?proceedings_name=15-95&amp;sort=date_disseminated,DESC</v>
      </c>
      <c r="D364" s="16" t="str">
        <f>HYPERLINK("https://apps.fcc.gov/edocs_public/Query.do?docket=15-95")</f>
        <v>https://apps.fcc.gov/edocs_public/Query.do?docket=15-95</v>
      </c>
      <c r="E364" s="5" t="s">
        <v>845</v>
      </c>
      <c r="F364" s="11">
        <v>3</v>
      </c>
      <c r="G364" s="11" t="s">
        <v>889</v>
      </c>
      <c r="H364" s="11" t="s">
        <v>889</v>
      </c>
    </row>
    <row r="365" spans="1:8" s="6" customFormat="1" ht="25.5">
      <c r="A365" s="5" t="s">
        <v>475</v>
      </c>
      <c r="B365" s="5" t="s">
        <v>890</v>
      </c>
      <c r="C365" s="16" t="str">
        <f>HYPERLINK("https://www.fcc.gov/ecfs/search/filings?proceedings_name=15-96&amp;sort=date_disseminated,DESC")</f>
        <v>https://www.fcc.gov/ecfs/search/filings?proceedings_name=15-96&amp;sort=date_disseminated,DESC</v>
      </c>
      <c r="D365" s="16" t="str">
        <f>HYPERLINK("https://apps.fcc.gov/edocs_public/Query.do?docket=15-96")</f>
        <v>https://apps.fcc.gov/edocs_public/Query.do?docket=15-96</v>
      </c>
      <c r="E365" s="5" t="s">
        <v>891</v>
      </c>
      <c r="F365" s="11">
        <v>2</v>
      </c>
      <c r="G365" s="11" t="s">
        <v>279</v>
      </c>
      <c r="H365" s="11" t="s">
        <v>220</v>
      </c>
    </row>
    <row r="366" spans="1:8" s="6" customFormat="1" ht="38.25">
      <c r="A366" s="5" t="s">
        <v>475</v>
      </c>
      <c r="B366" s="5" t="s">
        <v>892</v>
      </c>
      <c r="C366" s="16" t="str">
        <f>HYPERLINK("https://www.fcc.gov/ecfs/search/filings?proceedings_name=16-13&amp;sort=date_disseminated,DESC")</f>
        <v>https://www.fcc.gov/ecfs/search/filings?proceedings_name=16-13&amp;sort=date_disseminated,DESC</v>
      </c>
      <c r="D366" s="16" t="str">
        <f>HYPERLINK("https://apps.fcc.gov/edocs_public/Query.do?docket=16-13")</f>
        <v>https://apps.fcc.gov/edocs_public/Query.do?docket=16-13</v>
      </c>
      <c r="E366" s="5" t="s">
        <v>893</v>
      </c>
      <c r="F366" s="11">
        <v>16</v>
      </c>
      <c r="G366" s="11" t="s">
        <v>894</v>
      </c>
      <c r="H366" s="11" t="s">
        <v>460</v>
      </c>
    </row>
    <row r="367" spans="1:8" s="6" customFormat="1" ht="25.5">
      <c r="A367" s="5" t="s">
        <v>475</v>
      </c>
      <c r="B367" s="5" t="s">
        <v>895</v>
      </c>
      <c r="C367" s="16" t="str">
        <f>HYPERLINK("https://www.fcc.gov/ecfs/search/filings?proceedings_name=16-17&amp;sort=date_disseminated,DESC")</f>
        <v>https://www.fcc.gov/ecfs/search/filings?proceedings_name=16-17&amp;sort=date_disseminated,DESC</v>
      </c>
      <c r="D367" s="16" t="str">
        <f>HYPERLINK("https://apps.fcc.gov/edocs_public/Query.do?docket=16-17")</f>
        <v>https://apps.fcc.gov/edocs_public/Query.do?docket=16-17</v>
      </c>
      <c r="E367" s="5" t="s">
        <v>896</v>
      </c>
      <c r="F367" s="11">
        <v>2</v>
      </c>
      <c r="G367" s="11" t="s">
        <v>897</v>
      </c>
      <c r="H367" s="11" t="s">
        <v>221</v>
      </c>
    </row>
    <row r="368" spans="1:8" s="6" customFormat="1" ht="25.5">
      <c r="A368" s="5" t="s">
        <v>475</v>
      </c>
      <c r="B368" s="5" t="s">
        <v>898</v>
      </c>
      <c r="C368" s="16" t="str">
        <f>HYPERLINK("https://www.fcc.gov/ecfs/search/filings?proceedings_name=16-18&amp;sort=date_disseminated,DESC")</f>
        <v>https://www.fcc.gov/ecfs/search/filings?proceedings_name=16-18&amp;sort=date_disseminated,DESC</v>
      </c>
      <c r="D368" s="16" t="str">
        <f>HYPERLINK("https://apps.fcc.gov/edocs_public/Query.do?docket=16-18")</f>
        <v>https://apps.fcc.gov/edocs_public/Query.do?docket=16-18</v>
      </c>
      <c r="E368" s="5" t="s">
        <v>620</v>
      </c>
      <c r="F368" s="11">
        <v>2</v>
      </c>
      <c r="G368" s="11" t="s">
        <v>221</v>
      </c>
      <c r="H368" s="11" t="s">
        <v>899</v>
      </c>
    </row>
    <row r="369" spans="1:8" s="6" customFormat="1" ht="38.25">
      <c r="A369" s="5" t="s">
        <v>475</v>
      </c>
      <c r="B369" s="5" t="s">
        <v>900</v>
      </c>
      <c r="C369" s="16" t="str">
        <f>HYPERLINK("https://www.fcc.gov/ecfs/search/filings?proceedings_name=16-19&amp;sort=date_disseminated,DESC")</f>
        <v>https://www.fcc.gov/ecfs/search/filings?proceedings_name=16-19&amp;sort=date_disseminated,DESC</v>
      </c>
      <c r="D369" s="16" t="str">
        <f>HYPERLINK("https://apps.fcc.gov/edocs_public/Query.do?docket=16-19")</f>
        <v>https://apps.fcc.gov/edocs_public/Query.do?docket=16-19</v>
      </c>
      <c r="E369" s="5" t="s">
        <v>901</v>
      </c>
      <c r="F369" s="11">
        <v>2</v>
      </c>
      <c r="G369" s="11" t="s">
        <v>221</v>
      </c>
      <c r="H369" s="11" t="s">
        <v>899</v>
      </c>
    </row>
    <row r="370" spans="1:8" s="6" customFormat="1" ht="25.5">
      <c r="A370" s="5" t="s">
        <v>475</v>
      </c>
      <c r="B370" s="5" t="s">
        <v>902</v>
      </c>
      <c r="C370" s="16" t="str">
        <f>HYPERLINK("https://www.fcc.gov/ecfs/search/filings?proceedings_name=16-28&amp;sort=date_disseminated,DESC")</f>
        <v>https://www.fcc.gov/ecfs/search/filings?proceedings_name=16-28&amp;sort=date_disseminated,DESC</v>
      </c>
      <c r="D370" s="16" t="str">
        <f>HYPERLINK("https://apps.fcc.gov/edocs_public/Query.do?docket=16-28")</f>
        <v>https://apps.fcc.gov/edocs_public/Query.do?docket=16-28</v>
      </c>
      <c r="E370" s="5" t="s">
        <v>896</v>
      </c>
      <c r="F370" s="11">
        <v>2</v>
      </c>
      <c r="G370" s="11" t="s">
        <v>903</v>
      </c>
      <c r="H370" s="11" t="s">
        <v>904</v>
      </c>
    </row>
    <row r="371" spans="1:8" s="6" customFormat="1" ht="25.5">
      <c r="A371" s="5" t="s">
        <v>475</v>
      </c>
      <c r="B371" s="5" t="s">
        <v>905</v>
      </c>
      <c r="C371" s="16" t="str">
        <f>HYPERLINK("https://www.fcc.gov/ecfs/search/filings?proceedings_name=16-323&amp;sort=date_disseminated,DESC")</f>
        <v>https://www.fcc.gov/ecfs/search/filings?proceedings_name=16-323&amp;sort=date_disseminated,DESC</v>
      </c>
      <c r="D371" s="16" t="str">
        <f>HYPERLINK("https://apps.fcc.gov/edocs_public/Query.do?docket=16-323")</f>
        <v>https://apps.fcc.gov/edocs_public/Query.do?docket=16-323</v>
      </c>
      <c r="E371" s="5" t="s">
        <v>906</v>
      </c>
      <c r="F371" s="11">
        <v>1</v>
      </c>
      <c r="G371" s="11" t="s">
        <v>907</v>
      </c>
      <c r="H371" s="11" t="s">
        <v>908</v>
      </c>
    </row>
    <row r="372" spans="1:8" s="6" customFormat="1" ht="25.5">
      <c r="A372" s="5" t="s">
        <v>475</v>
      </c>
      <c r="B372" s="5" t="s">
        <v>909</v>
      </c>
      <c r="C372" s="16" t="str">
        <f>HYPERLINK("https://www.fcc.gov/ecfs/search/filings?proceedings_name=16-324&amp;sort=date_disseminated,DESC")</f>
        <v>https://www.fcc.gov/ecfs/search/filings?proceedings_name=16-324&amp;sort=date_disseminated,DESC</v>
      </c>
      <c r="D372" s="16" t="str">
        <f>HYPERLINK("https://apps.fcc.gov/edocs_public/Query.do?docket=16-324")</f>
        <v>https://apps.fcc.gov/edocs_public/Query.do?docket=16-324</v>
      </c>
      <c r="E372" s="5" t="s">
        <v>906</v>
      </c>
      <c r="F372" s="11">
        <v>1</v>
      </c>
      <c r="G372" s="11" t="s">
        <v>907</v>
      </c>
      <c r="H372" s="11" t="s">
        <v>908</v>
      </c>
    </row>
    <row r="373" spans="1:8" s="6" customFormat="1" ht="25.5">
      <c r="A373" s="5" t="s">
        <v>475</v>
      </c>
      <c r="B373" s="5" t="s">
        <v>910</v>
      </c>
      <c r="C373" s="16" t="str">
        <f>HYPERLINK("https://www.fcc.gov/ecfs/search/filings?proceedings_name=16-55&amp;sort=date_disseminated,DESC")</f>
        <v>https://www.fcc.gov/ecfs/search/filings?proceedings_name=16-55&amp;sort=date_disseminated,DESC</v>
      </c>
      <c r="D373" s="16" t="str">
        <f>HYPERLINK("https://apps.fcc.gov/edocs_public/Query.do?docket=16-55")</f>
        <v>https://apps.fcc.gov/edocs_public/Query.do?docket=16-55</v>
      </c>
      <c r="E373" s="5" t="s">
        <v>911</v>
      </c>
      <c r="F373" s="11">
        <v>2</v>
      </c>
      <c r="G373" s="11" t="s">
        <v>912</v>
      </c>
      <c r="H373" s="11" t="s">
        <v>284</v>
      </c>
    </row>
    <row r="374" spans="1:8" s="6" customFormat="1" ht="25.5">
      <c r="A374" s="5" t="s">
        <v>475</v>
      </c>
      <c r="B374" s="5" t="s">
        <v>913</v>
      </c>
      <c r="C374" s="16" t="str">
        <f>HYPERLINK("https://www.fcc.gov/ecfs/search/filings?proceedings_name=16-58&amp;sort=date_disseminated,DESC")</f>
        <v>https://www.fcc.gov/ecfs/search/filings?proceedings_name=16-58&amp;sort=date_disseminated,DESC</v>
      </c>
      <c r="D374" s="16" t="str">
        <f>HYPERLINK("https://apps.fcc.gov/edocs_public/Query.do?docket=16-58")</f>
        <v>https://apps.fcc.gov/edocs_public/Query.do?docket=16-58</v>
      </c>
      <c r="E374" s="5" t="s">
        <v>790</v>
      </c>
      <c r="F374" s="11">
        <v>2</v>
      </c>
      <c r="G374" s="11" t="s">
        <v>508</v>
      </c>
      <c r="H374" s="11" t="s">
        <v>897</v>
      </c>
    </row>
    <row r="375" spans="1:8" s="6" customFormat="1" ht="25.5">
      <c r="A375" s="5" t="s">
        <v>475</v>
      </c>
      <c r="B375" s="5" t="s">
        <v>914</v>
      </c>
      <c r="C375" s="16" t="str">
        <f>HYPERLINK("https://www.fcc.gov/ecfs/search/filings?proceedings_name=16-81&amp;sort=date_disseminated,DESC")</f>
        <v>https://www.fcc.gov/ecfs/search/filings?proceedings_name=16-81&amp;sort=date_disseminated,DESC</v>
      </c>
      <c r="D375" s="16" t="str">
        <f>HYPERLINK("https://apps.fcc.gov/edocs_public/Query.do?docket=16-81")</f>
        <v>https://apps.fcc.gov/edocs_public/Query.do?docket=16-81</v>
      </c>
      <c r="E375" s="5" t="s">
        <v>915</v>
      </c>
      <c r="F375" s="11">
        <v>2</v>
      </c>
      <c r="G375" s="11" t="s">
        <v>460</v>
      </c>
      <c r="H375" s="11" t="s">
        <v>95</v>
      </c>
    </row>
    <row r="376" spans="1:8" s="6" customFormat="1" ht="25.5">
      <c r="A376" s="5" t="s">
        <v>475</v>
      </c>
      <c r="B376" s="5" t="s">
        <v>916</v>
      </c>
      <c r="C376" s="16" t="str">
        <f>HYPERLINK("https://www.fcc.gov/ecfs/search/filings?proceedings_name=16-83&amp;sort=date_disseminated,DESC")</f>
        <v>https://www.fcc.gov/ecfs/search/filings?proceedings_name=16-83&amp;sort=date_disseminated,DESC</v>
      </c>
      <c r="D376" s="16" t="str">
        <f>HYPERLINK("https://apps.fcc.gov/edocs_public/Query.do?docket=16-83")</f>
        <v>https://apps.fcc.gov/edocs_public/Query.do?docket=16-83</v>
      </c>
      <c r="E376" s="5" t="s">
        <v>917</v>
      </c>
      <c r="F376" s="11">
        <v>4</v>
      </c>
      <c r="G376" s="11" t="s">
        <v>460</v>
      </c>
      <c r="H376" s="11" t="s">
        <v>95</v>
      </c>
    </row>
    <row r="377" spans="1:8" s="6" customFormat="1" ht="25.5">
      <c r="A377" s="5" t="s">
        <v>475</v>
      </c>
      <c r="B377" s="5" t="s">
        <v>918</v>
      </c>
      <c r="C377" s="16" t="str">
        <f>HYPERLINK("https://www.fcc.gov/ecfs/search/filings?proceedings_name=16-87&amp;sort=date_disseminated,DESC")</f>
        <v>https://www.fcc.gov/ecfs/search/filings?proceedings_name=16-87&amp;sort=date_disseminated,DESC</v>
      </c>
      <c r="D377" s="16" t="str">
        <f>HYPERLINK("https://apps.fcc.gov/edocs_public/Query.do?docket=16-87")</f>
        <v>https://apps.fcc.gov/edocs_public/Query.do?docket=16-87</v>
      </c>
      <c r="E377" s="5" t="s">
        <v>835</v>
      </c>
      <c r="F377" s="11">
        <v>2</v>
      </c>
      <c r="G377" s="11" t="s">
        <v>460</v>
      </c>
      <c r="H377" s="11" t="s">
        <v>95</v>
      </c>
    </row>
    <row r="378" spans="1:8" s="6" customFormat="1" ht="25.5">
      <c r="A378" s="5" t="s">
        <v>475</v>
      </c>
      <c r="B378" s="5" t="s">
        <v>919</v>
      </c>
      <c r="C378" s="16" t="str">
        <f>HYPERLINK("https://www.fcc.gov/ecfs/search/filings?proceedings_name=16-88&amp;sort=date_disseminated,DESC")</f>
        <v>https://www.fcc.gov/ecfs/search/filings?proceedings_name=16-88&amp;sort=date_disseminated,DESC</v>
      </c>
      <c r="D378" s="16" t="str">
        <f>HYPERLINK("https://apps.fcc.gov/edocs_public/Query.do?docket=16-88")</f>
        <v>https://apps.fcc.gov/edocs_public/Query.do?docket=16-88</v>
      </c>
      <c r="E378" s="5" t="s">
        <v>835</v>
      </c>
      <c r="F378" s="11">
        <v>2</v>
      </c>
      <c r="G378" s="11" t="s">
        <v>460</v>
      </c>
      <c r="H378" s="11" t="s">
        <v>95</v>
      </c>
    </row>
    <row r="379" spans="1:8" s="6" customFormat="1" ht="12.75">
      <c r="A379" s="5" t="s">
        <v>475</v>
      </c>
      <c r="B379" s="5" t="s">
        <v>946</v>
      </c>
      <c r="C379" s="16" t="str">
        <f>HYPERLINK("https://www.fcc.gov/ecfs/search/filings?proceedings_name=RM-11391&amp;sort=date_disseminated,DESC")</f>
        <v>https://www.fcc.gov/ecfs/search/filings?proceedings_name=RM-11391&amp;sort=date_disseminated,DESC</v>
      </c>
      <c r="D379" s="16" t="str">
        <f>HYPERLINK("https://apps.fcc.gov/edocs_public/Query.do?docket=RM-11391")</f>
        <v>https://apps.fcc.gov/edocs_public/Query.do?docket=RM-11391</v>
      </c>
      <c r="E379" s="5" t="s">
        <v>947</v>
      </c>
      <c r="F379" s="11">
        <v>19</v>
      </c>
      <c r="G379" s="11" t="s">
        <v>948</v>
      </c>
      <c r="H379" s="11" t="s">
        <v>949</v>
      </c>
    </row>
    <row r="380" spans="1:8" s="6" customFormat="1" ht="12.75">
      <c r="A380" s="5" t="s">
        <v>475</v>
      </c>
      <c r="B380" s="5" t="s">
        <v>950</v>
      </c>
      <c r="C380" s="16" t="str">
        <f>HYPERLINK("https://www.fcc.gov/ecfs/search/filings?proceedings_name=RM-11525&amp;sort=date_disseminated,DESC")</f>
        <v>https://www.fcc.gov/ecfs/search/filings?proceedings_name=RM-11525&amp;sort=date_disseminated,DESC</v>
      </c>
      <c r="D380" s="16" t="str">
        <f>HYPERLINK("https://apps.fcc.gov/edocs_public/Query.do?docket=RM-11525")</f>
        <v>https://apps.fcc.gov/edocs_public/Query.do?docket=RM-11525</v>
      </c>
      <c r="E380" s="5"/>
      <c r="F380" s="11">
        <v>5</v>
      </c>
      <c r="G380" s="11" t="s">
        <v>951</v>
      </c>
      <c r="H380" s="11" t="s">
        <v>952</v>
      </c>
    </row>
    <row r="381" spans="1:8" s="6" customFormat="1" ht="12.75">
      <c r="A381" s="5" t="s">
        <v>475</v>
      </c>
      <c r="B381" s="5" t="s">
        <v>953</v>
      </c>
      <c r="C381" s="16" t="str">
        <f>HYPERLINK("https://www.fcc.gov/ecfs/search/filings?proceedings_name=RM-11535&amp;sort=date_disseminated,DESC")</f>
        <v>https://www.fcc.gov/ecfs/search/filings?proceedings_name=RM-11535&amp;sort=date_disseminated,DESC</v>
      </c>
      <c r="D381" s="16" t="str">
        <f>HYPERLINK("https://apps.fcc.gov/edocs_public/Query.do?docket=RM-11535")</f>
        <v>https://apps.fcc.gov/edocs_public/Query.do?docket=RM-11535</v>
      </c>
      <c r="E381" s="5" t="s">
        <v>954</v>
      </c>
      <c r="F381" s="11">
        <v>2</v>
      </c>
      <c r="G381" s="11" t="s">
        <v>955</v>
      </c>
      <c r="H381" s="11" t="s">
        <v>956</v>
      </c>
    </row>
    <row r="382" spans="1:8" s="6" customFormat="1" ht="12.75">
      <c r="A382" s="5" t="s">
        <v>475</v>
      </c>
      <c r="B382" s="5" t="s">
        <v>957</v>
      </c>
      <c r="C382" s="16" t="str">
        <f>HYPERLINK("https://www.fcc.gov/ecfs/search/filings?proceedings_name=RM-11703&amp;sort=date_disseminated,DESC")</f>
        <v>https://www.fcc.gov/ecfs/search/filings?proceedings_name=RM-11703&amp;sort=date_disseminated,DESC</v>
      </c>
      <c r="D382" s="16" t="str">
        <f>HYPERLINK("https://apps.fcc.gov/edocs_public/Query.do?docket=RM-11703")</f>
        <v>https://apps.fcc.gov/edocs_public/Query.do?docket=RM-11703</v>
      </c>
      <c r="E382" s="5" t="s">
        <v>958</v>
      </c>
      <c r="F382" s="11">
        <v>11</v>
      </c>
      <c r="G382" s="11" t="s">
        <v>959</v>
      </c>
      <c r="H382" s="11" t="s">
        <v>960</v>
      </c>
    </row>
    <row r="383" spans="1:8" s="6" customFormat="1" ht="12.75">
      <c r="A383" s="5" t="s">
        <v>475</v>
      </c>
      <c r="B383" s="5" t="s">
        <v>961</v>
      </c>
      <c r="C383" s="16" t="str">
        <f>HYPERLINK("https://www.fcc.gov/ecfs/search/filings?proceedings_name=RM-11757&amp;sort=date_disseminated,DESC")</f>
        <v>https://www.fcc.gov/ecfs/search/filings?proceedings_name=RM-11757&amp;sort=date_disseminated,DESC</v>
      </c>
      <c r="D383" s="16" t="str">
        <f>HYPERLINK("https://apps.fcc.gov/edocs_public/Query.do?docket=RM-11757")</f>
        <v>https://apps.fcc.gov/edocs_public/Query.do?docket=RM-11757</v>
      </c>
      <c r="E383" s="5" t="s">
        <v>962</v>
      </c>
      <c r="F383" s="11">
        <v>1</v>
      </c>
      <c r="G383" s="11" t="s">
        <v>283</v>
      </c>
      <c r="H383" s="11" t="s">
        <v>609</v>
      </c>
    </row>
    <row r="384" spans="3:8" s="6" customFormat="1" ht="12.75">
      <c r="C384" s="18"/>
      <c r="D384" s="18"/>
      <c r="E384" s="8"/>
      <c r="F384" s="13"/>
      <c r="G384" s="13"/>
      <c r="H384" s="13"/>
    </row>
    <row r="385" spans="3:8" s="6" customFormat="1" ht="12.75">
      <c r="C385" s="18"/>
      <c r="D385" s="18"/>
      <c r="E385" s="8"/>
      <c r="F385" s="13"/>
      <c r="G385" s="13"/>
      <c r="H385" s="13"/>
    </row>
    <row r="386" spans="3:8" s="6" customFormat="1" ht="12.75">
      <c r="C386" s="18"/>
      <c r="D386" s="18"/>
      <c r="E386" s="8"/>
      <c r="F386" s="13"/>
      <c r="G386" s="13"/>
      <c r="H386" s="13"/>
    </row>
    <row r="387" spans="3:8" s="6" customFormat="1" ht="12.75">
      <c r="C387" s="18"/>
      <c r="D387" s="18"/>
      <c r="E387" s="8"/>
      <c r="F387" s="13"/>
      <c r="G387" s="13"/>
      <c r="H387" s="13"/>
    </row>
    <row r="388" spans="3:8" s="6" customFormat="1" ht="12.75">
      <c r="C388" s="18"/>
      <c r="D388" s="18"/>
      <c r="E388" s="8"/>
      <c r="F388" s="13"/>
      <c r="G388" s="13"/>
      <c r="H388" s="13"/>
    </row>
    <row r="389" spans="3:8" s="6" customFormat="1" ht="12.75">
      <c r="C389" s="18"/>
      <c r="D389" s="18"/>
      <c r="E389" s="8"/>
      <c r="F389" s="13"/>
      <c r="G389" s="13"/>
      <c r="H389" s="13"/>
    </row>
    <row r="390" spans="3:8" s="6" customFormat="1" ht="12.75">
      <c r="C390" s="18"/>
      <c r="D390" s="18"/>
      <c r="E390" s="8"/>
      <c r="F390" s="13"/>
      <c r="G390" s="13"/>
      <c r="H390" s="13"/>
    </row>
    <row r="391" spans="3:8" s="6" customFormat="1" ht="12.75">
      <c r="C391" s="18"/>
      <c r="D391" s="18"/>
      <c r="E391" s="8"/>
      <c r="F391" s="13"/>
      <c r="G391" s="13"/>
      <c r="H391" s="13"/>
    </row>
    <row r="392" spans="3:8" s="6" customFormat="1" ht="12.75">
      <c r="C392" s="18"/>
      <c r="D392" s="18"/>
      <c r="E392" s="8"/>
      <c r="F392" s="13"/>
      <c r="G392" s="13"/>
      <c r="H392" s="13"/>
    </row>
    <row r="393" spans="3:8" s="6" customFormat="1" ht="12.75">
      <c r="C393" s="18"/>
      <c r="D393" s="18"/>
      <c r="E393" s="8"/>
      <c r="F393" s="13"/>
      <c r="G393" s="13"/>
      <c r="H393" s="13"/>
    </row>
    <row r="394" spans="3:8" s="6" customFormat="1" ht="12.75">
      <c r="C394" s="18"/>
      <c r="D394" s="18"/>
      <c r="E394" s="8"/>
      <c r="F394" s="13"/>
      <c r="G394" s="13"/>
      <c r="H394" s="13"/>
    </row>
    <row r="395" spans="3:8" s="6" customFormat="1" ht="12.75">
      <c r="C395" s="18"/>
      <c r="D395" s="18"/>
      <c r="E395" s="8"/>
      <c r="F395" s="13"/>
      <c r="G395" s="13"/>
      <c r="H395" s="13"/>
    </row>
    <row r="396" spans="3:8" s="6" customFormat="1" ht="12.75">
      <c r="C396" s="18"/>
      <c r="D396" s="18"/>
      <c r="E396" s="8"/>
      <c r="F396" s="13"/>
      <c r="G396" s="13"/>
      <c r="H396" s="13"/>
    </row>
    <row r="397" spans="3:8" s="6" customFormat="1" ht="12.75">
      <c r="C397" s="18"/>
      <c r="D397" s="18"/>
      <c r="E397" s="8"/>
      <c r="F397" s="13"/>
      <c r="G397" s="13"/>
      <c r="H397" s="13"/>
    </row>
    <row r="398" spans="3:8" s="6" customFormat="1" ht="12.75">
      <c r="C398" s="18"/>
      <c r="D398" s="18"/>
      <c r="E398" s="8"/>
      <c r="F398" s="13"/>
      <c r="G398" s="13"/>
      <c r="H398" s="13"/>
    </row>
    <row r="399" spans="3:8" s="6" customFormat="1" ht="12.75">
      <c r="C399" s="18"/>
      <c r="D399" s="18"/>
      <c r="E399" s="8"/>
      <c r="F399" s="13"/>
      <c r="G399" s="13"/>
      <c r="H399" s="13"/>
    </row>
    <row r="400" spans="3:8" s="6" customFormat="1" ht="12.75">
      <c r="C400" s="18"/>
      <c r="D400" s="18"/>
      <c r="E400" s="8"/>
      <c r="F400" s="13"/>
      <c r="G400" s="13"/>
      <c r="H400" s="13"/>
    </row>
    <row r="401" spans="3:8" s="6" customFormat="1" ht="12.75">
      <c r="C401" s="18"/>
      <c r="D401" s="18"/>
      <c r="E401" s="8"/>
      <c r="F401" s="13"/>
      <c r="G401" s="13"/>
      <c r="H401" s="13"/>
    </row>
    <row r="402" spans="3:8" s="6" customFormat="1" ht="12.75">
      <c r="C402" s="18"/>
      <c r="D402" s="18"/>
      <c r="E402" s="8"/>
      <c r="F402" s="13"/>
      <c r="G402" s="13"/>
      <c r="H402" s="13"/>
    </row>
    <row r="403" spans="3:8" s="6" customFormat="1" ht="12.75">
      <c r="C403" s="18"/>
      <c r="D403" s="18"/>
      <c r="E403" s="8"/>
      <c r="F403" s="13"/>
      <c r="G403" s="13"/>
      <c r="H403" s="13"/>
    </row>
    <row r="404" spans="3:8" s="6" customFormat="1" ht="12.75">
      <c r="C404" s="18"/>
      <c r="D404" s="18"/>
      <c r="E404" s="8"/>
      <c r="F404" s="13"/>
      <c r="G404" s="13"/>
      <c r="H404" s="13"/>
    </row>
    <row r="405" spans="3:8" s="6" customFormat="1" ht="12.75">
      <c r="C405" s="18"/>
      <c r="D405" s="18"/>
      <c r="E405" s="8"/>
      <c r="F405" s="13"/>
      <c r="G405" s="13"/>
      <c r="H405" s="13"/>
    </row>
    <row r="406" spans="3:8" s="6" customFormat="1" ht="12.75">
      <c r="C406" s="18"/>
      <c r="D406" s="18"/>
      <c r="E406" s="8"/>
      <c r="F406" s="13"/>
      <c r="G406" s="13"/>
      <c r="H406" s="13"/>
    </row>
    <row r="407" spans="3:8" s="6" customFormat="1" ht="12.75">
      <c r="C407" s="18"/>
      <c r="D407" s="18"/>
      <c r="E407" s="8"/>
      <c r="F407" s="13"/>
      <c r="G407" s="13"/>
      <c r="H407" s="13"/>
    </row>
    <row r="408" spans="3:8" s="6" customFormat="1" ht="12.75">
      <c r="C408" s="18"/>
      <c r="D408" s="18"/>
      <c r="E408" s="8"/>
      <c r="F408" s="13"/>
      <c r="G408" s="13"/>
      <c r="H408" s="13"/>
    </row>
    <row r="409" spans="3:8" s="6" customFormat="1" ht="12.75">
      <c r="C409" s="18"/>
      <c r="D409" s="18"/>
      <c r="E409" s="8"/>
      <c r="F409" s="13"/>
      <c r="G409" s="13"/>
      <c r="H409" s="13"/>
    </row>
    <row r="410" spans="3:8" s="6" customFormat="1" ht="12.75">
      <c r="C410" s="18"/>
      <c r="D410" s="18"/>
      <c r="E410" s="8"/>
      <c r="F410" s="13"/>
      <c r="G410" s="13"/>
      <c r="H410" s="13"/>
    </row>
    <row r="411" spans="3:8" s="6" customFormat="1" ht="12.75">
      <c r="C411" s="18"/>
      <c r="D411" s="18"/>
      <c r="E411" s="8"/>
      <c r="F411" s="13"/>
      <c r="G411" s="13"/>
      <c r="H411" s="13"/>
    </row>
    <row r="412" spans="3:8" s="6" customFormat="1" ht="12.75">
      <c r="C412" s="18"/>
      <c r="D412" s="18"/>
      <c r="E412" s="8"/>
      <c r="F412" s="13"/>
      <c r="G412" s="13"/>
      <c r="H412" s="13"/>
    </row>
    <row r="413" spans="3:8" s="6" customFormat="1" ht="12.75">
      <c r="C413" s="18"/>
      <c r="D413" s="18"/>
      <c r="E413" s="8"/>
      <c r="F413" s="13"/>
      <c r="G413" s="13"/>
      <c r="H413" s="13"/>
    </row>
    <row r="414" spans="3:8" s="6" customFormat="1" ht="12.75">
      <c r="C414" s="18"/>
      <c r="D414" s="18"/>
      <c r="E414" s="8"/>
      <c r="F414" s="13"/>
      <c r="G414" s="13"/>
      <c r="H414" s="13"/>
    </row>
    <row r="415" spans="3:8" s="6" customFormat="1" ht="12.75">
      <c r="C415" s="18"/>
      <c r="D415" s="18"/>
      <c r="E415" s="8"/>
      <c r="F415" s="13"/>
      <c r="G415" s="13"/>
      <c r="H415" s="13"/>
    </row>
    <row r="416" spans="3:8" s="6" customFormat="1" ht="12.75">
      <c r="C416" s="18"/>
      <c r="D416" s="18"/>
      <c r="E416" s="8"/>
      <c r="F416" s="13"/>
      <c r="G416" s="13"/>
      <c r="H416" s="13"/>
    </row>
    <row r="417" spans="3:8" s="6" customFormat="1" ht="12.75">
      <c r="C417" s="18"/>
      <c r="D417" s="18"/>
      <c r="E417" s="8"/>
      <c r="F417" s="13"/>
      <c r="G417" s="13"/>
      <c r="H417" s="13"/>
    </row>
    <row r="418" spans="3:8" s="6" customFormat="1" ht="12.75">
      <c r="C418" s="18"/>
      <c r="D418" s="18"/>
      <c r="E418" s="8"/>
      <c r="F418" s="13"/>
      <c r="G418" s="13"/>
      <c r="H418" s="13"/>
    </row>
    <row r="419" spans="3:8" s="6" customFormat="1" ht="12.75">
      <c r="C419" s="18"/>
      <c r="D419" s="18"/>
      <c r="E419" s="8"/>
      <c r="F419" s="13"/>
      <c r="G419" s="13"/>
      <c r="H419" s="13"/>
    </row>
    <row r="420" spans="3:8" s="6" customFormat="1" ht="12.75">
      <c r="C420" s="18"/>
      <c r="D420" s="18"/>
      <c r="E420" s="8"/>
      <c r="F420" s="13"/>
      <c r="G420" s="13"/>
      <c r="H420" s="13"/>
    </row>
    <row r="421" spans="3:8" s="6" customFormat="1" ht="12.75">
      <c r="C421" s="18"/>
      <c r="D421" s="18"/>
      <c r="E421" s="8"/>
      <c r="F421" s="13"/>
      <c r="G421" s="13"/>
      <c r="H421" s="13"/>
    </row>
    <row r="422" spans="3:8" s="6" customFormat="1" ht="12.75">
      <c r="C422" s="18"/>
      <c r="D422" s="18"/>
      <c r="E422" s="8"/>
      <c r="F422" s="13"/>
      <c r="G422" s="13"/>
      <c r="H422" s="13"/>
    </row>
    <row r="423" spans="3:8" s="6" customFormat="1" ht="12.75">
      <c r="C423" s="18"/>
      <c r="D423" s="18"/>
      <c r="E423" s="8"/>
      <c r="F423" s="13"/>
      <c r="G423" s="13"/>
      <c r="H423" s="13"/>
    </row>
    <row r="424" spans="3:8" s="6" customFormat="1" ht="12.75">
      <c r="C424" s="18"/>
      <c r="D424" s="18"/>
      <c r="E424" s="8"/>
      <c r="F424" s="13"/>
      <c r="G424" s="13"/>
      <c r="H424" s="13"/>
    </row>
    <row r="425" spans="3:8" s="6" customFormat="1" ht="12.75">
      <c r="C425" s="18"/>
      <c r="D425" s="18"/>
      <c r="E425" s="8"/>
      <c r="F425" s="13"/>
      <c r="G425" s="13"/>
      <c r="H425" s="13"/>
    </row>
    <row r="426" spans="3:8" s="6" customFormat="1" ht="12.75">
      <c r="C426" s="18"/>
      <c r="D426" s="18"/>
      <c r="E426" s="8"/>
      <c r="F426" s="13"/>
      <c r="G426" s="13"/>
      <c r="H426" s="13"/>
    </row>
    <row r="427" spans="3:8" s="6" customFormat="1" ht="12.75">
      <c r="C427" s="18"/>
      <c r="D427" s="18"/>
      <c r="E427" s="8"/>
      <c r="F427" s="13"/>
      <c r="G427" s="13"/>
      <c r="H427" s="13"/>
    </row>
    <row r="428" spans="3:8" s="6" customFormat="1" ht="12.75">
      <c r="C428" s="18"/>
      <c r="D428" s="18"/>
      <c r="E428" s="8"/>
      <c r="F428" s="13"/>
      <c r="G428" s="13"/>
      <c r="H428" s="13"/>
    </row>
    <row r="429" spans="3:8" s="6" customFormat="1" ht="12.75">
      <c r="C429" s="18"/>
      <c r="D429" s="18"/>
      <c r="E429" s="8"/>
      <c r="F429" s="13"/>
      <c r="G429" s="13"/>
      <c r="H429" s="13"/>
    </row>
    <row r="430" spans="3:8" s="6" customFormat="1" ht="12.75">
      <c r="C430" s="18"/>
      <c r="D430" s="18"/>
      <c r="E430" s="8"/>
      <c r="F430" s="13"/>
      <c r="G430" s="13"/>
      <c r="H430" s="13"/>
    </row>
    <row r="431" spans="3:8" s="6" customFormat="1" ht="12.75">
      <c r="C431" s="18"/>
      <c r="D431" s="18"/>
      <c r="E431" s="8"/>
      <c r="F431" s="13"/>
      <c r="G431" s="13"/>
      <c r="H431" s="13"/>
    </row>
    <row r="432" spans="3:8" s="6" customFormat="1" ht="12.75">
      <c r="C432" s="18"/>
      <c r="D432" s="18"/>
      <c r="E432" s="8"/>
      <c r="F432" s="13"/>
      <c r="G432" s="13"/>
      <c r="H432" s="13"/>
    </row>
    <row r="433" spans="3:8" s="6" customFormat="1" ht="12.75">
      <c r="C433" s="18"/>
      <c r="D433" s="18"/>
      <c r="E433" s="8"/>
      <c r="F433" s="13"/>
      <c r="G433" s="13"/>
      <c r="H433" s="13"/>
    </row>
    <row r="434" spans="3:8" s="6" customFormat="1" ht="12.75">
      <c r="C434" s="18"/>
      <c r="D434" s="18"/>
      <c r="E434" s="8"/>
      <c r="F434" s="13"/>
      <c r="G434" s="13"/>
      <c r="H434" s="13"/>
    </row>
    <row r="435" spans="3:8" s="6" customFormat="1" ht="12.75">
      <c r="C435" s="18"/>
      <c r="D435" s="18"/>
      <c r="E435" s="8"/>
      <c r="F435" s="13"/>
      <c r="G435" s="13"/>
      <c r="H435" s="13"/>
    </row>
    <row r="436" spans="3:8" s="6" customFormat="1" ht="12.75">
      <c r="C436" s="18"/>
      <c r="D436" s="18"/>
      <c r="E436" s="8"/>
      <c r="F436" s="13"/>
      <c r="G436" s="13"/>
      <c r="H436" s="13"/>
    </row>
    <row r="437" spans="3:8" s="6" customFormat="1" ht="12.75">
      <c r="C437" s="18"/>
      <c r="D437" s="18"/>
      <c r="E437" s="8"/>
      <c r="F437" s="13"/>
      <c r="G437" s="13"/>
      <c r="H437" s="13"/>
    </row>
    <row r="438" spans="3:8" s="6" customFormat="1" ht="12.75">
      <c r="C438" s="18"/>
      <c r="D438" s="18"/>
      <c r="E438" s="8"/>
      <c r="F438" s="13"/>
      <c r="G438" s="13"/>
      <c r="H438" s="13"/>
    </row>
    <row r="439" spans="3:8" s="6" customFormat="1" ht="12.75">
      <c r="C439" s="18"/>
      <c r="D439" s="18"/>
      <c r="E439" s="8"/>
      <c r="F439" s="13"/>
      <c r="G439" s="13"/>
      <c r="H439" s="13"/>
    </row>
    <row r="440" spans="3:8" s="6" customFormat="1" ht="12.75">
      <c r="C440" s="18"/>
      <c r="D440" s="18"/>
      <c r="E440" s="8"/>
      <c r="F440" s="13"/>
      <c r="G440" s="13"/>
      <c r="H440" s="13"/>
    </row>
    <row r="441" spans="3:8" s="6" customFormat="1" ht="12.75">
      <c r="C441" s="18"/>
      <c r="D441" s="18"/>
      <c r="E441" s="8"/>
      <c r="F441" s="13"/>
      <c r="G441" s="13"/>
      <c r="H441" s="13"/>
    </row>
    <row r="442" spans="3:8" s="6" customFormat="1" ht="12.75">
      <c r="C442" s="18"/>
      <c r="D442" s="18"/>
      <c r="E442" s="8"/>
      <c r="F442" s="13"/>
      <c r="G442" s="13"/>
      <c r="H442" s="13"/>
    </row>
    <row r="443" spans="3:8" s="6" customFormat="1" ht="12.75">
      <c r="C443" s="18"/>
      <c r="D443" s="18"/>
      <c r="E443" s="8"/>
      <c r="F443" s="13"/>
      <c r="G443" s="13"/>
      <c r="H443" s="13"/>
    </row>
    <row r="444" spans="3:8" s="6" customFormat="1" ht="12.75">
      <c r="C444" s="18"/>
      <c r="D444" s="18"/>
      <c r="E444" s="8"/>
      <c r="F444" s="13"/>
      <c r="G444" s="13"/>
      <c r="H444" s="13"/>
    </row>
    <row r="445" spans="3:8" s="6" customFormat="1" ht="12.75">
      <c r="C445" s="18"/>
      <c r="D445" s="18"/>
      <c r="E445" s="8"/>
      <c r="F445" s="13"/>
      <c r="G445" s="13"/>
      <c r="H445" s="13"/>
    </row>
    <row r="446" spans="3:8" s="6" customFormat="1" ht="12.75">
      <c r="C446" s="18"/>
      <c r="D446" s="18"/>
      <c r="E446" s="8"/>
      <c r="F446" s="13"/>
      <c r="G446" s="13"/>
      <c r="H446" s="13"/>
    </row>
    <row r="447" spans="3:8" s="6" customFormat="1" ht="12.75">
      <c r="C447" s="18"/>
      <c r="D447" s="18"/>
      <c r="E447" s="8"/>
      <c r="F447" s="13"/>
      <c r="G447" s="13"/>
      <c r="H447" s="13"/>
    </row>
    <row r="448" spans="3:8" s="6" customFormat="1" ht="12.75">
      <c r="C448" s="18"/>
      <c r="D448" s="18"/>
      <c r="E448" s="8"/>
      <c r="F448" s="13"/>
      <c r="G448" s="13"/>
      <c r="H448" s="13"/>
    </row>
    <row r="449" spans="3:8" s="6" customFormat="1" ht="12.75">
      <c r="C449" s="18"/>
      <c r="D449" s="18"/>
      <c r="E449" s="8"/>
      <c r="F449" s="13"/>
      <c r="G449" s="13"/>
      <c r="H449" s="13"/>
    </row>
    <row r="450" spans="3:8" s="6" customFormat="1" ht="12.75">
      <c r="C450" s="18"/>
      <c r="D450" s="18"/>
      <c r="E450" s="8"/>
      <c r="F450" s="13"/>
      <c r="G450" s="13"/>
      <c r="H450" s="13"/>
    </row>
    <row r="451" spans="3:8" s="6" customFormat="1" ht="12.75">
      <c r="C451" s="18"/>
      <c r="D451" s="18"/>
      <c r="E451" s="8"/>
      <c r="F451" s="13"/>
      <c r="G451" s="13"/>
      <c r="H451" s="13"/>
    </row>
    <row r="452" spans="3:8" s="6" customFormat="1" ht="12.75">
      <c r="C452" s="18"/>
      <c r="D452" s="18"/>
      <c r="E452" s="8"/>
      <c r="F452" s="13"/>
      <c r="G452" s="13"/>
      <c r="H452" s="13"/>
    </row>
    <row r="453" spans="3:8" s="6" customFormat="1" ht="12.75">
      <c r="C453" s="18"/>
      <c r="D453" s="18"/>
      <c r="E453" s="8"/>
      <c r="F453" s="13"/>
      <c r="G453" s="13"/>
      <c r="H453" s="13"/>
    </row>
    <row r="454" spans="3:8" s="6" customFormat="1" ht="12.75">
      <c r="C454" s="18"/>
      <c r="D454" s="18"/>
      <c r="E454" s="8"/>
      <c r="F454" s="13"/>
      <c r="G454" s="13"/>
      <c r="H454" s="13"/>
    </row>
    <row r="455" spans="3:8" s="6" customFormat="1" ht="12.75">
      <c r="C455" s="18"/>
      <c r="D455" s="18"/>
      <c r="E455" s="8"/>
      <c r="F455" s="13"/>
      <c r="G455" s="13"/>
      <c r="H455" s="13"/>
    </row>
    <row r="456" spans="3:8" s="6" customFormat="1" ht="12.75">
      <c r="C456" s="18"/>
      <c r="D456" s="18"/>
      <c r="E456" s="8"/>
      <c r="F456" s="13"/>
      <c r="G456" s="13"/>
      <c r="H456" s="13"/>
    </row>
    <row r="457" spans="3:8" s="6" customFormat="1" ht="12.75">
      <c r="C457" s="18"/>
      <c r="D457" s="18"/>
      <c r="E457" s="8"/>
      <c r="F457" s="13"/>
      <c r="G457" s="13"/>
      <c r="H457" s="13"/>
    </row>
    <row r="458" spans="3:8" s="6" customFormat="1" ht="12.75">
      <c r="C458" s="18"/>
      <c r="D458" s="18"/>
      <c r="E458" s="8"/>
      <c r="F458" s="13"/>
      <c r="G458" s="13"/>
      <c r="H458" s="13"/>
    </row>
    <row r="459" spans="3:8" s="6" customFormat="1" ht="12.75">
      <c r="C459" s="18"/>
      <c r="D459" s="18"/>
      <c r="E459" s="8"/>
      <c r="F459" s="13"/>
      <c r="G459" s="13"/>
      <c r="H459" s="13"/>
    </row>
    <row r="460" spans="3:8" s="6" customFormat="1" ht="12.75">
      <c r="C460" s="18"/>
      <c r="D460" s="18"/>
      <c r="E460" s="8"/>
      <c r="F460" s="13"/>
      <c r="G460" s="13"/>
      <c r="H460" s="13"/>
    </row>
    <row r="461" spans="3:8" s="6" customFormat="1" ht="12.75">
      <c r="C461" s="18"/>
      <c r="D461" s="18"/>
      <c r="E461" s="8"/>
      <c r="F461" s="13"/>
      <c r="G461" s="13"/>
      <c r="H461" s="13"/>
    </row>
    <row r="462" spans="3:8" s="6" customFormat="1" ht="12.75">
      <c r="C462" s="18"/>
      <c r="D462" s="18"/>
      <c r="E462" s="8"/>
      <c r="F462" s="13"/>
      <c r="G462" s="13"/>
      <c r="H462" s="13"/>
    </row>
    <row r="463" spans="3:8" s="6" customFormat="1" ht="12.75">
      <c r="C463" s="18"/>
      <c r="D463" s="18"/>
      <c r="E463" s="8"/>
      <c r="F463" s="13"/>
      <c r="G463" s="13"/>
      <c r="H463" s="13"/>
    </row>
    <row r="464" spans="3:8" s="6" customFormat="1" ht="12.75">
      <c r="C464" s="18"/>
      <c r="D464" s="18"/>
      <c r="E464" s="8"/>
      <c r="F464" s="13"/>
      <c r="G464" s="13"/>
      <c r="H464" s="13"/>
    </row>
    <row r="465" spans="3:8" s="6" customFormat="1" ht="12.75">
      <c r="C465" s="18"/>
      <c r="D465" s="18"/>
      <c r="E465" s="8"/>
      <c r="F465" s="13"/>
      <c r="G465" s="13"/>
      <c r="H465" s="13"/>
    </row>
    <row r="466" spans="3:8" s="6" customFormat="1" ht="12.75">
      <c r="C466" s="18"/>
      <c r="D466" s="18"/>
      <c r="E466" s="8"/>
      <c r="F466" s="13"/>
      <c r="G466" s="13"/>
      <c r="H466" s="13"/>
    </row>
    <row r="467" spans="3:8" s="6" customFormat="1" ht="12.75">
      <c r="C467" s="18"/>
      <c r="D467" s="18"/>
      <c r="E467" s="8"/>
      <c r="F467" s="13"/>
      <c r="G467" s="13"/>
      <c r="H467" s="13"/>
    </row>
    <row r="468" spans="3:8" s="6" customFormat="1" ht="12.75">
      <c r="C468" s="18"/>
      <c r="D468" s="18"/>
      <c r="E468" s="8"/>
      <c r="F468" s="13"/>
      <c r="G468" s="13"/>
      <c r="H468" s="13"/>
    </row>
    <row r="469" spans="3:8" s="6" customFormat="1" ht="12.75">
      <c r="C469" s="18"/>
      <c r="D469" s="18"/>
      <c r="E469" s="8"/>
      <c r="F469" s="13"/>
      <c r="G469" s="13"/>
      <c r="H469" s="13"/>
    </row>
    <row r="470" spans="3:8" s="6" customFormat="1" ht="12.75">
      <c r="C470" s="18"/>
      <c r="D470" s="18"/>
      <c r="E470" s="8"/>
      <c r="F470" s="13"/>
      <c r="G470" s="13"/>
      <c r="H470" s="13"/>
    </row>
    <row r="471" spans="3:8" s="6" customFormat="1" ht="12.75">
      <c r="C471" s="18"/>
      <c r="D471" s="18"/>
      <c r="E471" s="8"/>
      <c r="F471" s="13"/>
      <c r="G471" s="13"/>
      <c r="H471" s="13"/>
    </row>
    <row r="472" spans="3:8" s="6" customFormat="1" ht="12.75">
      <c r="C472" s="18"/>
      <c r="D472" s="18"/>
      <c r="E472" s="8"/>
      <c r="F472" s="13"/>
      <c r="G472" s="13"/>
      <c r="H472" s="13"/>
    </row>
    <row r="473" spans="3:8" s="6" customFormat="1" ht="12.75">
      <c r="C473" s="18"/>
      <c r="D473" s="18"/>
      <c r="E473" s="8"/>
      <c r="F473" s="13"/>
      <c r="G473" s="13"/>
      <c r="H473" s="13"/>
    </row>
    <row r="474" spans="3:8" s="6" customFormat="1" ht="12.75">
      <c r="C474" s="18"/>
      <c r="D474" s="18"/>
      <c r="E474" s="8"/>
      <c r="F474" s="13"/>
      <c r="G474" s="13"/>
      <c r="H474" s="13"/>
    </row>
    <row r="475" spans="3:8" s="6" customFormat="1" ht="12.75">
      <c r="C475" s="18"/>
      <c r="D475" s="18"/>
      <c r="E475" s="8"/>
      <c r="F475" s="13"/>
      <c r="G475" s="13"/>
      <c r="H475" s="13"/>
    </row>
    <row r="476" spans="3:8" s="6" customFormat="1" ht="12.75">
      <c r="C476" s="18"/>
      <c r="D476" s="18"/>
      <c r="E476" s="8"/>
      <c r="F476" s="13"/>
      <c r="G476" s="13"/>
      <c r="H476" s="13"/>
    </row>
    <row r="477" spans="3:8" s="6" customFormat="1" ht="12.75">
      <c r="C477" s="18"/>
      <c r="D477" s="18"/>
      <c r="E477" s="8"/>
      <c r="F477" s="13"/>
      <c r="G477" s="13"/>
      <c r="H477" s="13"/>
    </row>
    <row r="478" spans="3:8" s="6" customFormat="1" ht="12.75">
      <c r="C478" s="18"/>
      <c r="D478" s="18"/>
      <c r="E478" s="8"/>
      <c r="F478" s="13"/>
      <c r="G478" s="13"/>
      <c r="H478" s="13"/>
    </row>
    <row r="479" spans="3:8" s="6" customFormat="1" ht="12.75">
      <c r="C479" s="18"/>
      <c r="D479" s="18"/>
      <c r="E479" s="8"/>
      <c r="F479" s="13"/>
      <c r="G479" s="13"/>
      <c r="H479" s="13"/>
    </row>
    <row r="480" spans="3:8" s="6" customFormat="1" ht="12.75">
      <c r="C480" s="18"/>
      <c r="D480" s="18"/>
      <c r="E480" s="8"/>
      <c r="F480" s="13"/>
      <c r="G480" s="13"/>
      <c r="H480" s="13"/>
    </row>
    <row r="481" spans="3:8" s="6" customFormat="1" ht="12.75">
      <c r="C481" s="18"/>
      <c r="D481" s="18"/>
      <c r="E481" s="8"/>
      <c r="F481" s="13"/>
      <c r="G481" s="13"/>
      <c r="H481" s="13"/>
    </row>
    <row r="482" spans="3:8" s="6" customFormat="1" ht="12.75">
      <c r="C482" s="18"/>
      <c r="D482" s="18"/>
      <c r="E482" s="8"/>
      <c r="F482" s="13"/>
      <c r="G482" s="13"/>
      <c r="H482" s="13"/>
    </row>
    <row r="483" spans="3:8" s="6" customFormat="1" ht="12.75">
      <c r="C483" s="18"/>
      <c r="D483" s="18"/>
      <c r="E483" s="8"/>
      <c r="F483" s="13"/>
      <c r="G483" s="13"/>
      <c r="H483" s="13"/>
    </row>
    <row r="484" spans="3:8" s="6" customFormat="1" ht="12.75">
      <c r="C484" s="18"/>
      <c r="D484" s="18"/>
      <c r="E484" s="8"/>
      <c r="F484" s="13"/>
      <c r="G484" s="13"/>
      <c r="H484" s="13"/>
    </row>
    <row r="485" spans="3:8" s="6" customFormat="1" ht="12.75">
      <c r="C485" s="18"/>
      <c r="D485" s="18"/>
      <c r="E485" s="8"/>
      <c r="F485" s="13"/>
      <c r="G485" s="13"/>
      <c r="H485" s="13"/>
    </row>
    <row r="486" spans="3:8" s="6" customFormat="1" ht="12.75">
      <c r="C486" s="18"/>
      <c r="D486" s="18"/>
      <c r="E486" s="8"/>
      <c r="F486" s="13"/>
      <c r="G486" s="13"/>
      <c r="H486" s="13"/>
    </row>
    <row r="487" spans="3:8" s="6" customFormat="1" ht="12.75">
      <c r="C487" s="18"/>
      <c r="D487" s="18"/>
      <c r="E487" s="8"/>
      <c r="F487" s="13"/>
      <c r="G487" s="13"/>
      <c r="H487" s="13"/>
    </row>
    <row r="488" spans="3:8" s="6" customFormat="1" ht="12.75">
      <c r="C488" s="18"/>
      <c r="D488" s="18"/>
      <c r="E488" s="8"/>
      <c r="F488" s="13"/>
      <c r="G488" s="13"/>
      <c r="H488" s="13"/>
    </row>
    <row r="489" spans="3:8" s="6" customFormat="1" ht="12.75">
      <c r="C489" s="18"/>
      <c r="D489" s="18"/>
      <c r="E489" s="8"/>
      <c r="F489" s="13"/>
      <c r="G489" s="13"/>
      <c r="H489" s="13"/>
    </row>
    <row r="490" spans="3:8" s="6" customFormat="1" ht="12.75">
      <c r="C490" s="18"/>
      <c r="D490" s="18"/>
      <c r="E490" s="8"/>
      <c r="F490" s="13"/>
      <c r="G490" s="13"/>
      <c r="H490" s="13"/>
    </row>
    <row r="491" spans="3:8" s="6" customFormat="1" ht="12.75">
      <c r="C491" s="18"/>
      <c r="D491" s="18"/>
      <c r="E491" s="8"/>
      <c r="F491" s="13"/>
      <c r="G491" s="13"/>
      <c r="H491" s="13"/>
    </row>
    <row r="492" spans="3:8" s="6" customFormat="1" ht="12.75">
      <c r="C492" s="18"/>
      <c r="D492" s="18"/>
      <c r="E492" s="8"/>
      <c r="F492" s="13"/>
      <c r="G492" s="13"/>
      <c r="H492" s="13"/>
    </row>
    <row r="493" spans="3:8" s="6" customFormat="1" ht="12.75">
      <c r="C493" s="18"/>
      <c r="D493" s="18"/>
      <c r="E493" s="8"/>
      <c r="F493" s="13"/>
      <c r="G493" s="13"/>
      <c r="H493" s="13"/>
    </row>
    <row r="494" spans="3:8" s="6" customFormat="1" ht="12.75">
      <c r="C494" s="18"/>
      <c r="D494" s="18"/>
      <c r="E494" s="8"/>
      <c r="F494" s="13"/>
      <c r="G494" s="13"/>
      <c r="H494" s="13"/>
    </row>
    <row r="495" spans="3:8" s="6" customFormat="1" ht="12.75">
      <c r="C495" s="18"/>
      <c r="D495" s="18"/>
      <c r="E495" s="8"/>
      <c r="F495" s="13"/>
      <c r="G495" s="13"/>
      <c r="H495" s="13"/>
    </row>
    <row r="496" spans="3:8" s="6" customFormat="1" ht="12.75">
      <c r="C496" s="18"/>
      <c r="D496" s="18"/>
      <c r="E496" s="8"/>
      <c r="F496" s="13"/>
      <c r="G496" s="13"/>
      <c r="H496" s="13"/>
    </row>
    <row r="497" spans="3:8" s="6" customFormat="1" ht="12.75">
      <c r="C497" s="18"/>
      <c r="D497" s="18"/>
      <c r="E497" s="8"/>
      <c r="F497" s="13"/>
      <c r="G497" s="13"/>
      <c r="H497" s="13"/>
    </row>
    <row r="498" spans="3:8" s="6" customFormat="1" ht="12.75">
      <c r="C498" s="18"/>
      <c r="D498" s="18"/>
      <c r="E498" s="8"/>
      <c r="F498" s="13"/>
      <c r="G498" s="13"/>
      <c r="H498" s="13"/>
    </row>
    <row r="499" spans="3:8" s="6" customFormat="1" ht="12.75">
      <c r="C499" s="18"/>
      <c r="D499" s="18"/>
      <c r="E499" s="8"/>
      <c r="F499" s="13"/>
      <c r="G499" s="13"/>
      <c r="H499" s="13"/>
    </row>
    <row r="500" spans="3:8" s="6" customFormat="1" ht="12.75">
      <c r="C500" s="18"/>
      <c r="D500" s="18"/>
      <c r="E500" s="8"/>
      <c r="F500" s="13"/>
      <c r="G500" s="13"/>
      <c r="H500" s="13"/>
    </row>
    <row r="501" spans="3:8" s="6" customFormat="1" ht="12.75">
      <c r="C501" s="18"/>
      <c r="D501" s="18"/>
      <c r="E501" s="8"/>
      <c r="F501" s="13"/>
      <c r="G501" s="13"/>
      <c r="H501" s="13"/>
    </row>
    <row r="502" spans="3:8" s="6" customFormat="1" ht="12.75">
      <c r="C502" s="18"/>
      <c r="D502" s="18"/>
      <c r="E502" s="8"/>
      <c r="F502" s="13"/>
      <c r="G502" s="13"/>
      <c r="H502" s="13"/>
    </row>
    <row r="503" spans="3:8" s="6" customFormat="1" ht="12.75">
      <c r="C503" s="18"/>
      <c r="D503" s="18"/>
      <c r="E503" s="8"/>
      <c r="F503" s="13"/>
      <c r="G503" s="13"/>
      <c r="H503" s="13"/>
    </row>
    <row r="504" spans="3:8" s="6" customFormat="1" ht="12.75">
      <c r="C504" s="18"/>
      <c r="D504" s="18"/>
      <c r="E504" s="8"/>
      <c r="F504" s="13"/>
      <c r="G504" s="13"/>
      <c r="H504" s="13"/>
    </row>
    <row r="505" spans="3:8" s="6" customFormat="1" ht="12.75">
      <c r="C505" s="18"/>
      <c r="D505" s="18"/>
      <c r="E505" s="8"/>
      <c r="F505" s="13"/>
      <c r="G505" s="13"/>
      <c r="H505" s="13"/>
    </row>
    <row r="506" spans="3:8" s="6" customFormat="1" ht="12.75">
      <c r="C506" s="18"/>
      <c r="D506" s="18"/>
      <c r="E506" s="8"/>
      <c r="F506" s="13"/>
      <c r="G506" s="13"/>
      <c r="H506" s="13"/>
    </row>
    <row r="507" spans="3:8" s="6" customFormat="1" ht="12.75">
      <c r="C507" s="18"/>
      <c r="D507" s="18"/>
      <c r="E507" s="8"/>
      <c r="F507" s="13"/>
      <c r="G507" s="13"/>
      <c r="H507" s="13"/>
    </row>
    <row r="508" spans="3:8" s="6" customFormat="1" ht="12.75">
      <c r="C508" s="18"/>
      <c r="D508" s="18"/>
      <c r="E508" s="8"/>
      <c r="F508" s="13"/>
      <c r="G508" s="13"/>
      <c r="H508" s="13"/>
    </row>
    <row r="509" spans="3:8" s="6" customFormat="1" ht="12.75">
      <c r="C509" s="18"/>
      <c r="D509" s="18"/>
      <c r="E509" s="8"/>
      <c r="F509" s="13"/>
      <c r="G509" s="13"/>
      <c r="H509" s="13"/>
    </row>
    <row r="510" spans="3:8" s="6" customFormat="1" ht="12.75">
      <c r="C510" s="18"/>
      <c r="D510" s="18"/>
      <c r="E510" s="8"/>
      <c r="F510" s="13"/>
      <c r="G510" s="13"/>
      <c r="H510" s="13"/>
    </row>
    <row r="511" spans="3:8" s="6" customFormat="1" ht="12.75">
      <c r="C511" s="18"/>
      <c r="D511" s="18"/>
      <c r="E511" s="8"/>
      <c r="F511" s="13"/>
      <c r="G511" s="13"/>
      <c r="H511" s="13"/>
    </row>
    <row r="512" spans="3:8" s="6" customFormat="1" ht="12.75">
      <c r="C512" s="18"/>
      <c r="D512" s="18"/>
      <c r="E512" s="8"/>
      <c r="F512" s="13"/>
      <c r="G512" s="13"/>
      <c r="H512" s="13"/>
    </row>
    <row r="513" spans="3:8" s="6" customFormat="1" ht="12.75">
      <c r="C513" s="18"/>
      <c r="D513" s="18"/>
      <c r="E513" s="8"/>
      <c r="F513" s="13"/>
      <c r="G513" s="13"/>
      <c r="H513" s="13"/>
    </row>
    <row r="514" spans="3:8" s="6" customFormat="1" ht="12.75">
      <c r="C514" s="18"/>
      <c r="D514" s="18"/>
      <c r="E514" s="8"/>
      <c r="F514" s="13"/>
      <c r="G514" s="13"/>
      <c r="H514" s="13"/>
    </row>
    <row r="515" spans="3:8" s="6" customFormat="1" ht="12.75">
      <c r="C515" s="18"/>
      <c r="D515" s="18"/>
      <c r="E515" s="8"/>
      <c r="F515" s="13"/>
      <c r="G515" s="13"/>
      <c r="H515" s="13"/>
    </row>
    <row r="516" spans="3:8" s="6" customFormat="1" ht="12.75">
      <c r="C516" s="18"/>
      <c r="D516" s="18"/>
      <c r="E516" s="8"/>
      <c r="F516" s="13"/>
      <c r="G516" s="13"/>
      <c r="H516" s="13"/>
    </row>
    <row r="517" spans="3:8" s="6" customFormat="1" ht="12.75">
      <c r="C517" s="18"/>
      <c r="D517" s="18"/>
      <c r="E517" s="8"/>
      <c r="F517" s="13"/>
      <c r="G517" s="13"/>
      <c r="H517" s="13"/>
    </row>
    <row r="518" spans="3:8" s="6" customFormat="1" ht="12.75">
      <c r="C518" s="18"/>
      <c r="D518" s="18"/>
      <c r="E518" s="8"/>
      <c r="F518" s="13"/>
      <c r="G518" s="13"/>
      <c r="H518" s="13"/>
    </row>
    <row r="519" spans="3:8" s="6" customFormat="1" ht="12.75">
      <c r="C519" s="18"/>
      <c r="D519" s="18"/>
      <c r="E519" s="8"/>
      <c r="F519" s="13"/>
      <c r="G519" s="13"/>
      <c r="H519" s="13"/>
    </row>
    <row r="520" spans="3:8" s="6" customFormat="1" ht="12.75">
      <c r="C520" s="18"/>
      <c r="D520" s="18"/>
      <c r="E520" s="8"/>
      <c r="F520" s="13"/>
      <c r="G520" s="13"/>
      <c r="H520" s="13"/>
    </row>
    <row r="521" spans="3:8" s="6" customFormat="1" ht="12.75">
      <c r="C521" s="18"/>
      <c r="D521" s="18"/>
      <c r="E521" s="8"/>
      <c r="F521" s="13"/>
      <c r="G521" s="13"/>
      <c r="H521" s="13"/>
    </row>
    <row r="522" spans="3:8" s="6" customFormat="1" ht="12.75">
      <c r="C522" s="18"/>
      <c r="D522" s="18"/>
      <c r="E522" s="8"/>
      <c r="F522" s="13"/>
      <c r="G522" s="13"/>
      <c r="H522" s="13"/>
    </row>
    <row r="523" spans="3:8" s="6" customFormat="1" ht="12.75">
      <c r="C523" s="18"/>
      <c r="D523" s="18"/>
      <c r="E523" s="8"/>
      <c r="F523" s="13"/>
      <c r="G523" s="13"/>
      <c r="H523" s="13"/>
    </row>
    <row r="524" spans="3:8" s="6" customFormat="1" ht="12.75">
      <c r="C524" s="18"/>
      <c r="D524" s="18"/>
      <c r="E524" s="8"/>
      <c r="F524" s="13"/>
      <c r="G524" s="13"/>
      <c r="H524" s="13"/>
    </row>
    <row r="525" spans="3:8" s="6" customFormat="1" ht="12.75">
      <c r="C525" s="18"/>
      <c r="D525" s="18"/>
      <c r="E525" s="8"/>
      <c r="F525" s="13"/>
      <c r="G525" s="13"/>
      <c r="H525" s="13"/>
    </row>
    <row r="526" spans="3:8" s="6" customFormat="1" ht="12.75">
      <c r="C526" s="18"/>
      <c r="D526" s="18"/>
      <c r="E526" s="8"/>
      <c r="F526" s="13"/>
      <c r="G526" s="13"/>
      <c r="H526" s="13"/>
    </row>
    <row r="527" spans="3:8" s="6" customFormat="1" ht="12.75">
      <c r="C527" s="18"/>
      <c r="D527" s="18"/>
      <c r="E527" s="8"/>
      <c r="F527" s="13"/>
      <c r="G527" s="13"/>
      <c r="H527" s="13"/>
    </row>
    <row r="528" spans="3:8" s="6" customFormat="1" ht="12.75">
      <c r="C528" s="18"/>
      <c r="D528" s="18"/>
      <c r="E528" s="8"/>
      <c r="F528" s="13"/>
      <c r="G528" s="13"/>
      <c r="H528" s="13"/>
    </row>
    <row r="529" spans="3:8" s="6" customFormat="1" ht="12.75">
      <c r="C529" s="18"/>
      <c r="D529" s="18"/>
      <c r="E529" s="8"/>
      <c r="F529" s="13"/>
      <c r="G529" s="13"/>
      <c r="H529" s="13"/>
    </row>
    <row r="530" spans="3:8" s="6" customFormat="1" ht="12.75">
      <c r="C530" s="18"/>
      <c r="D530" s="18"/>
      <c r="E530" s="8"/>
      <c r="F530" s="13"/>
      <c r="G530" s="13"/>
      <c r="H530" s="13"/>
    </row>
    <row r="531" spans="3:8" s="6" customFormat="1" ht="12.75">
      <c r="C531" s="18"/>
      <c r="D531" s="18"/>
      <c r="E531" s="8"/>
      <c r="F531" s="13"/>
      <c r="G531" s="13"/>
      <c r="H531" s="13"/>
    </row>
    <row r="532" spans="3:8" s="6" customFormat="1" ht="12.75">
      <c r="C532" s="18"/>
      <c r="D532" s="18"/>
      <c r="E532" s="8"/>
      <c r="F532" s="13"/>
      <c r="G532" s="13"/>
      <c r="H532" s="13"/>
    </row>
    <row r="533" spans="3:8" s="6" customFormat="1" ht="12.75">
      <c r="C533" s="18"/>
      <c r="D533" s="18"/>
      <c r="E533" s="8"/>
      <c r="F533" s="13"/>
      <c r="G533" s="13"/>
      <c r="H533" s="13"/>
    </row>
    <row r="534" spans="3:8" s="6" customFormat="1" ht="12.75">
      <c r="C534" s="18"/>
      <c r="D534" s="18"/>
      <c r="E534" s="8"/>
      <c r="F534" s="13"/>
      <c r="G534" s="13"/>
      <c r="H534" s="13"/>
    </row>
    <row r="535" spans="3:8" s="6" customFormat="1" ht="12.75">
      <c r="C535" s="18"/>
      <c r="D535" s="18"/>
      <c r="E535" s="8"/>
      <c r="F535" s="13"/>
      <c r="G535" s="13"/>
      <c r="H535" s="13"/>
    </row>
    <row r="536" spans="3:8" s="6" customFormat="1" ht="12.75">
      <c r="C536" s="18"/>
      <c r="D536" s="18"/>
      <c r="E536" s="8"/>
      <c r="F536" s="13"/>
      <c r="G536" s="13"/>
      <c r="H536" s="13"/>
    </row>
    <row r="537" spans="3:8" s="6" customFormat="1" ht="12.75">
      <c r="C537" s="18"/>
      <c r="D537" s="18"/>
      <c r="E537" s="8"/>
      <c r="F537" s="13"/>
      <c r="G537" s="13"/>
      <c r="H537" s="13"/>
    </row>
    <row r="538" spans="3:8" s="6" customFormat="1" ht="12.75">
      <c r="C538" s="18"/>
      <c r="D538" s="18"/>
      <c r="E538" s="8"/>
      <c r="F538" s="13"/>
      <c r="G538" s="13"/>
      <c r="H538" s="13"/>
    </row>
    <row r="539" spans="3:8" s="6" customFormat="1" ht="12.75">
      <c r="C539" s="18"/>
      <c r="D539" s="18"/>
      <c r="E539" s="8"/>
      <c r="F539" s="13"/>
      <c r="G539" s="13"/>
      <c r="H539" s="13"/>
    </row>
    <row r="540" spans="3:8" s="6" customFormat="1" ht="12.75">
      <c r="C540" s="18"/>
      <c r="D540" s="18"/>
      <c r="E540" s="8"/>
      <c r="F540" s="13"/>
      <c r="G540" s="13"/>
      <c r="H540" s="13"/>
    </row>
    <row r="541" spans="3:8" s="6" customFormat="1" ht="12.75">
      <c r="C541" s="18"/>
      <c r="D541" s="18"/>
      <c r="E541" s="8"/>
      <c r="F541" s="13"/>
      <c r="G541" s="13"/>
      <c r="H541" s="13"/>
    </row>
    <row r="542" spans="3:8" s="6" customFormat="1" ht="12.75">
      <c r="C542" s="18"/>
      <c r="D542" s="18"/>
      <c r="E542" s="8"/>
      <c r="F542" s="13"/>
      <c r="G542" s="13"/>
      <c r="H542" s="13"/>
    </row>
    <row r="543" spans="3:8" s="6" customFormat="1" ht="12.75">
      <c r="C543" s="18"/>
      <c r="D543" s="18"/>
      <c r="E543" s="8"/>
      <c r="F543" s="13"/>
      <c r="G543" s="13"/>
      <c r="H543" s="13"/>
    </row>
    <row r="544" spans="3:8" s="6" customFormat="1" ht="12.75">
      <c r="C544" s="18"/>
      <c r="D544" s="18"/>
      <c r="E544" s="8"/>
      <c r="F544" s="13"/>
      <c r="G544" s="13"/>
      <c r="H544" s="13"/>
    </row>
    <row r="545" spans="3:8" s="6" customFormat="1" ht="12.75">
      <c r="C545" s="18"/>
      <c r="D545" s="18"/>
      <c r="E545" s="8"/>
      <c r="F545" s="13"/>
      <c r="G545" s="13"/>
      <c r="H545" s="13"/>
    </row>
    <row r="546" spans="3:8" s="6" customFormat="1" ht="12.75">
      <c r="C546" s="18"/>
      <c r="D546" s="18"/>
      <c r="E546" s="8"/>
      <c r="F546" s="13"/>
      <c r="G546" s="13"/>
      <c r="H546" s="13"/>
    </row>
    <row r="547" spans="3:8" s="6" customFormat="1" ht="12.75">
      <c r="C547" s="18"/>
      <c r="D547" s="18"/>
      <c r="E547" s="8"/>
      <c r="F547" s="13"/>
      <c r="G547" s="13"/>
      <c r="H547" s="13"/>
    </row>
    <row r="548" spans="3:8" s="6" customFormat="1" ht="12.75">
      <c r="C548" s="18"/>
      <c r="D548" s="18"/>
      <c r="E548" s="8"/>
      <c r="F548" s="13"/>
      <c r="G548" s="13"/>
      <c r="H548" s="13"/>
    </row>
    <row r="549" spans="3:8" s="6" customFormat="1" ht="12.75">
      <c r="C549" s="18"/>
      <c r="D549" s="18"/>
      <c r="E549" s="8"/>
      <c r="F549" s="13"/>
      <c r="G549" s="13"/>
      <c r="H549" s="13"/>
    </row>
    <row r="550" spans="3:8" s="6" customFormat="1" ht="12.75">
      <c r="C550" s="18"/>
      <c r="D550" s="18"/>
      <c r="E550" s="8"/>
      <c r="F550" s="13"/>
      <c r="G550" s="13"/>
      <c r="H550" s="13"/>
    </row>
    <row r="551" spans="3:8" s="6" customFormat="1" ht="12.75">
      <c r="C551" s="18"/>
      <c r="D551" s="18"/>
      <c r="E551" s="8"/>
      <c r="F551" s="13"/>
      <c r="G551" s="13"/>
      <c r="H551" s="13"/>
    </row>
    <row r="552" spans="3:8" s="6" customFormat="1" ht="12.75">
      <c r="C552" s="18"/>
      <c r="D552" s="18"/>
      <c r="E552" s="8"/>
      <c r="F552" s="13"/>
      <c r="G552" s="13"/>
      <c r="H552" s="13"/>
    </row>
    <row r="553" spans="3:8" s="6" customFormat="1" ht="12.75">
      <c r="C553" s="18"/>
      <c r="D553" s="18"/>
      <c r="E553" s="8"/>
      <c r="F553" s="13"/>
      <c r="G553" s="13"/>
      <c r="H553" s="13"/>
    </row>
    <row r="554" spans="3:8" s="6" customFormat="1" ht="12.75">
      <c r="C554" s="18"/>
      <c r="D554" s="18"/>
      <c r="E554" s="8"/>
      <c r="F554" s="13"/>
      <c r="G554" s="13"/>
      <c r="H554" s="13"/>
    </row>
    <row r="555" spans="3:8" s="6" customFormat="1" ht="12.75">
      <c r="C555" s="18"/>
      <c r="D555" s="18"/>
      <c r="E555" s="8"/>
      <c r="F555" s="13"/>
      <c r="G555" s="13"/>
      <c r="H555" s="13"/>
    </row>
    <row r="556" spans="3:8" s="6" customFormat="1" ht="12.75">
      <c r="C556" s="18"/>
      <c r="D556" s="18"/>
      <c r="E556" s="8"/>
      <c r="F556" s="13"/>
      <c r="G556" s="13"/>
      <c r="H556" s="13"/>
    </row>
    <row r="557" spans="3:8" s="6" customFormat="1" ht="12.75">
      <c r="C557" s="18"/>
      <c r="D557" s="18"/>
      <c r="E557" s="8"/>
      <c r="F557" s="13"/>
      <c r="G557" s="13"/>
      <c r="H557" s="13"/>
    </row>
    <row r="558" spans="3:8" s="6" customFormat="1" ht="12.75">
      <c r="C558" s="18"/>
      <c r="D558" s="18"/>
      <c r="E558" s="8"/>
      <c r="F558" s="13"/>
      <c r="G558" s="13"/>
      <c r="H558" s="13"/>
    </row>
    <row r="559" spans="3:8" s="6" customFormat="1" ht="12.75">
      <c r="C559" s="18"/>
      <c r="D559" s="18"/>
      <c r="E559" s="8"/>
      <c r="F559" s="13"/>
      <c r="G559" s="13"/>
      <c r="H559" s="13"/>
    </row>
    <row r="560" spans="3:8" s="6" customFormat="1" ht="12.75">
      <c r="C560" s="18"/>
      <c r="D560" s="18"/>
      <c r="E560" s="8"/>
      <c r="F560" s="13"/>
      <c r="G560" s="13"/>
      <c r="H560" s="13"/>
    </row>
    <row r="561" spans="3:8" s="6" customFormat="1" ht="12.75">
      <c r="C561" s="18"/>
      <c r="D561" s="18"/>
      <c r="E561" s="8"/>
      <c r="F561" s="13"/>
      <c r="G561" s="13"/>
      <c r="H561" s="13"/>
    </row>
    <row r="562" spans="3:8" s="6" customFormat="1" ht="12.75">
      <c r="C562" s="18"/>
      <c r="D562" s="18"/>
      <c r="E562" s="8"/>
      <c r="F562" s="13"/>
      <c r="G562" s="13"/>
      <c r="H562" s="13"/>
    </row>
    <row r="563" spans="3:8" s="6" customFormat="1" ht="12.75">
      <c r="C563" s="18"/>
      <c r="D563" s="18"/>
      <c r="E563" s="8"/>
      <c r="F563" s="13"/>
      <c r="G563" s="13"/>
      <c r="H563" s="13"/>
    </row>
    <row r="564" spans="3:8" s="6" customFormat="1" ht="12.75">
      <c r="C564" s="18"/>
      <c r="D564" s="18"/>
      <c r="E564" s="8"/>
      <c r="F564" s="13"/>
      <c r="G564" s="13"/>
      <c r="H564" s="13"/>
    </row>
    <row r="565" spans="3:8" s="6" customFormat="1" ht="12.75">
      <c r="C565" s="18"/>
      <c r="D565" s="18"/>
      <c r="E565" s="8"/>
      <c r="F565" s="13"/>
      <c r="G565" s="13"/>
      <c r="H565" s="13"/>
    </row>
    <row r="566" spans="3:8" s="6" customFormat="1" ht="12.75">
      <c r="C566" s="18"/>
      <c r="D566" s="18"/>
      <c r="E566" s="8"/>
      <c r="F566" s="13"/>
      <c r="G566" s="13"/>
      <c r="H566" s="13"/>
    </row>
    <row r="567" spans="3:8" s="6" customFormat="1" ht="12.75">
      <c r="C567" s="18"/>
      <c r="D567" s="18"/>
      <c r="E567" s="8"/>
      <c r="F567" s="13"/>
      <c r="G567" s="13"/>
      <c r="H567" s="13"/>
    </row>
    <row r="568" spans="3:8" s="6" customFormat="1" ht="12.75">
      <c r="C568" s="18"/>
      <c r="D568" s="18"/>
      <c r="E568" s="8"/>
      <c r="F568" s="13"/>
      <c r="G568" s="13"/>
      <c r="H568" s="13"/>
    </row>
    <row r="569" spans="3:8" s="6" customFormat="1" ht="12.75">
      <c r="C569" s="18"/>
      <c r="D569" s="18"/>
      <c r="E569" s="8"/>
      <c r="F569" s="13"/>
      <c r="G569" s="13"/>
      <c r="H569" s="13"/>
    </row>
    <row r="570" spans="3:8" s="6" customFormat="1" ht="12.75">
      <c r="C570" s="18"/>
      <c r="D570" s="18"/>
      <c r="E570" s="8"/>
      <c r="F570" s="13"/>
      <c r="G570" s="13"/>
      <c r="H570" s="13"/>
    </row>
    <row r="571" spans="3:8" s="6" customFormat="1" ht="12.75">
      <c r="C571" s="18"/>
      <c r="D571" s="18"/>
      <c r="E571" s="8"/>
      <c r="F571" s="13"/>
      <c r="G571" s="13"/>
      <c r="H571" s="13"/>
    </row>
    <row r="572" spans="3:8" s="6" customFormat="1" ht="12.75">
      <c r="C572" s="18"/>
      <c r="D572" s="18"/>
      <c r="E572" s="8"/>
      <c r="F572" s="13"/>
      <c r="G572" s="13"/>
      <c r="H572" s="13"/>
    </row>
    <row r="573" spans="3:8" s="6" customFormat="1" ht="12.75">
      <c r="C573" s="18"/>
      <c r="D573" s="18"/>
      <c r="E573" s="8"/>
      <c r="F573" s="13"/>
      <c r="G573" s="13"/>
      <c r="H573" s="13"/>
    </row>
    <row r="574" spans="3:8" s="6" customFormat="1" ht="12.75">
      <c r="C574" s="18"/>
      <c r="D574" s="18"/>
      <c r="E574" s="8"/>
      <c r="F574" s="13"/>
      <c r="G574" s="13"/>
      <c r="H574" s="13"/>
    </row>
    <row r="575" spans="3:8" s="6" customFormat="1" ht="12.75">
      <c r="C575" s="18"/>
      <c r="D575" s="18"/>
      <c r="E575" s="8"/>
      <c r="F575" s="13"/>
      <c r="G575" s="13"/>
      <c r="H575" s="13"/>
    </row>
    <row r="576" spans="3:8" s="6" customFormat="1" ht="12.75">
      <c r="C576" s="18"/>
      <c r="D576" s="18"/>
      <c r="E576" s="8"/>
      <c r="F576" s="13"/>
      <c r="G576" s="13"/>
      <c r="H576" s="13"/>
    </row>
    <row r="577" spans="3:8" s="6" customFormat="1" ht="12.75">
      <c r="C577" s="18"/>
      <c r="D577" s="18"/>
      <c r="E577" s="8"/>
      <c r="F577" s="13"/>
      <c r="G577" s="13"/>
      <c r="H577" s="13"/>
    </row>
    <row r="578" spans="3:8" s="6" customFormat="1" ht="12.75">
      <c r="C578" s="18"/>
      <c r="D578" s="18"/>
      <c r="E578" s="8"/>
      <c r="F578" s="13"/>
      <c r="G578" s="13"/>
      <c r="H578" s="13"/>
    </row>
    <row r="579" spans="3:8" s="6" customFormat="1" ht="12.75">
      <c r="C579" s="18"/>
      <c r="D579" s="18"/>
      <c r="E579" s="8"/>
      <c r="F579" s="13"/>
      <c r="G579" s="13"/>
      <c r="H579" s="13"/>
    </row>
    <row r="580" spans="3:8" s="6" customFormat="1" ht="12.75">
      <c r="C580" s="18"/>
      <c r="D580" s="18"/>
      <c r="E580" s="8"/>
      <c r="F580" s="13"/>
      <c r="G580" s="13"/>
      <c r="H580" s="13"/>
    </row>
    <row r="581" spans="3:8" s="6" customFormat="1" ht="12.75">
      <c r="C581" s="18"/>
      <c r="D581" s="18"/>
      <c r="E581" s="8"/>
      <c r="F581" s="13"/>
      <c r="G581" s="13"/>
      <c r="H581" s="13"/>
    </row>
    <row r="582" spans="3:8" s="6" customFormat="1" ht="12.75">
      <c r="C582" s="18"/>
      <c r="D582" s="18"/>
      <c r="E582" s="8"/>
      <c r="F582" s="13"/>
      <c r="G582" s="13"/>
      <c r="H582" s="13"/>
    </row>
    <row r="583" spans="3:8" s="6" customFormat="1" ht="12.75">
      <c r="C583" s="18"/>
      <c r="D583" s="18"/>
      <c r="E583" s="8"/>
      <c r="F583" s="13"/>
      <c r="G583" s="13"/>
      <c r="H583" s="13"/>
    </row>
    <row r="584" spans="3:8" s="6" customFormat="1" ht="12.75">
      <c r="C584" s="18"/>
      <c r="D584" s="18"/>
      <c r="E584" s="8"/>
      <c r="F584" s="13"/>
      <c r="G584" s="13"/>
      <c r="H584" s="13"/>
    </row>
    <row r="585" spans="3:8" s="6" customFormat="1" ht="12.75">
      <c r="C585" s="18"/>
      <c r="D585" s="18"/>
      <c r="E585" s="8"/>
      <c r="F585" s="13"/>
      <c r="G585" s="13"/>
      <c r="H585" s="13"/>
    </row>
    <row r="586" spans="3:8" s="6" customFormat="1" ht="12.75">
      <c r="C586" s="18"/>
      <c r="D586" s="18"/>
      <c r="E586" s="8"/>
      <c r="F586" s="13"/>
      <c r="G586" s="13"/>
      <c r="H586" s="13"/>
    </row>
    <row r="587" spans="3:8" s="6" customFormat="1" ht="12.75">
      <c r="C587" s="18"/>
      <c r="D587" s="18"/>
      <c r="E587" s="8"/>
      <c r="F587" s="13"/>
      <c r="G587" s="13"/>
      <c r="H587" s="13"/>
    </row>
    <row r="588" spans="3:8" s="6" customFormat="1" ht="12.75">
      <c r="C588" s="18"/>
      <c r="D588" s="18"/>
      <c r="E588" s="8"/>
      <c r="F588" s="13"/>
      <c r="G588" s="13"/>
      <c r="H588" s="13"/>
    </row>
    <row r="589" spans="3:8" s="6" customFormat="1" ht="12.75">
      <c r="C589" s="18"/>
      <c r="D589" s="18"/>
      <c r="E589" s="8"/>
      <c r="F589" s="13"/>
      <c r="G589" s="13"/>
      <c r="H589" s="13"/>
    </row>
    <row r="590" spans="3:8" s="6" customFormat="1" ht="12.75">
      <c r="C590" s="18"/>
      <c r="D590" s="18"/>
      <c r="E590" s="8"/>
      <c r="F590" s="13"/>
      <c r="G590" s="13"/>
      <c r="H590" s="13"/>
    </row>
    <row r="591" spans="3:8" s="6" customFormat="1" ht="12.75">
      <c r="C591" s="18"/>
      <c r="D591" s="18"/>
      <c r="E591" s="8"/>
      <c r="F591" s="13"/>
      <c r="G591" s="13"/>
      <c r="H591" s="13"/>
    </row>
    <row r="592" spans="3:8" s="6" customFormat="1" ht="12.75">
      <c r="C592" s="18"/>
      <c r="D592" s="18"/>
      <c r="E592" s="8"/>
      <c r="F592" s="13"/>
      <c r="G592" s="13"/>
      <c r="H592" s="13"/>
    </row>
    <row r="593" spans="3:8" s="6" customFormat="1" ht="12.75">
      <c r="C593" s="18"/>
      <c r="D593" s="18"/>
      <c r="E593" s="8"/>
      <c r="F593" s="13"/>
      <c r="G593" s="13"/>
      <c r="H593" s="13"/>
    </row>
    <row r="594" spans="3:8" s="6" customFormat="1" ht="12.75">
      <c r="C594" s="18"/>
      <c r="D594" s="18"/>
      <c r="E594" s="8"/>
      <c r="F594" s="13"/>
      <c r="G594" s="13"/>
      <c r="H594" s="13"/>
    </row>
    <row r="595" spans="3:8" s="6" customFormat="1" ht="12.75">
      <c r="C595" s="18"/>
      <c r="D595" s="18"/>
      <c r="E595" s="8"/>
      <c r="F595" s="13"/>
      <c r="G595" s="13"/>
      <c r="H595" s="13"/>
    </row>
    <row r="596" spans="3:8" s="6" customFormat="1" ht="12.75">
      <c r="C596" s="18"/>
      <c r="D596" s="18"/>
      <c r="E596" s="8"/>
      <c r="F596" s="13"/>
      <c r="G596" s="13"/>
      <c r="H596" s="13"/>
    </row>
    <row r="597" spans="3:8" s="6" customFormat="1" ht="12.75">
      <c r="C597" s="18"/>
      <c r="D597" s="18"/>
      <c r="E597" s="8"/>
      <c r="F597" s="13"/>
      <c r="G597" s="13"/>
      <c r="H597" s="13"/>
    </row>
    <row r="598" spans="3:8" s="6" customFormat="1" ht="12.75">
      <c r="C598" s="18"/>
      <c r="D598" s="18"/>
      <c r="E598" s="8"/>
      <c r="F598" s="13"/>
      <c r="G598" s="13"/>
      <c r="H598" s="13"/>
    </row>
    <row r="599" spans="3:8" s="6" customFormat="1" ht="12.75">
      <c r="C599" s="18"/>
      <c r="D599" s="18"/>
      <c r="E599" s="8"/>
      <c r="F599" s="13"/>
      <c r="G599" s="13"/>
      <c r="H599" s="13"/>
    </row>
    <row r="600" spans="3:8" s="6" customFormat="1" ht="12.75">
      <c r="C600" s="18"/>
      <c r="D600" s="18"/>
      <c r="E600" s="8"/>
      <c r="F600" s="13"/>
      <c r="G600" s="13"/>
      <c r="H600" s="13"/>
    </row>
    <row r="601" spans="3:8" s="6" customFormat="1" ht="12.75">
      <c r="C601" s="18"/>
      <c r="D601" s="18"/>
      <c r="E601" s="8"/>
      <c r="F601" s="13"/>
      <c r="G601" s="13"/>
      <c r="H601" s="13"/>
    </row>
    <row r="602" spans="3:8" s="6" customFormat="1" ht="12.75">
      <c r="C602" s="18"/>
      <c r="D602" s="18"/>
      <c r="E602" s="8"/>
      <c r="F602" s="13"/>
      <c r="G602" s="13"/>
      <c r="H602" s="13"/>
    </row>
    <row r="603" spans="3:8" s="6" customFormat="1" ht="12.75">
      <c r="C603" s="18"/>
      <c r="D603" s="18"/>
      <c r="E603" s="8"/>
      <c r="F603" s="13"/>
      <c r="G603" s="13"/>
      <c r="H603" s="13"/>
    </row>
    <row r="604" spans="3:8" s="6" customFormat="1" ht="12.75">
      <c r="C604" s="18"/>
      <c r="D604" s="18"/>
      <c r="E604" s="8"/>
      <c r="F604" s="13"/>
      <c r="G604" s="13"/>
      <c r="H604" s="13"/>
    </row>
    <row r="605" spans="3:8" s="6" customFormat="1" ht="12.75">
      <c r="C605" s="18"/>
      <c r="D605" s="18"/>
      <c r="E605" s="8"/>
      <c r="F605" s="13"/>
      <c r="G605" s="13"/>
      <c r="H605" s="13"/>
    </row>
    <row r="606" spans="3:8" s="6" customFormat="1" ht="12.75">
      <c r="C606" s="18"/>
      <c r="D606" s="18"/>
      <c r="E606" s="8"/>
      <c r="F606" s="13"/>
      <c r="G606" s="13"/>
      <c r="H606" s="13"/>
    </row>
    <row r="607" spans="3:8" s="6" customFormat="1" ht="12.75">
      <c r="C607" s="18"/>
      <c r="D607" s="18"/>
      <c r="E607" s="8"/>
      <c r="F607" s="13"/>
      <c r="G607" s="13"/>
      <c r="H607" s="13"/>
    </row>
    <row r="608" spans="3:8" s="6" customFormat="1" ht="12.75">
      <c r="C608" s="18"/>
      <c r="D608" s="18"/>
      <c r="E608" s="8"/>
      <c r="F608" s="13"/>
      <c r="G608" s="13"/>
      <c r="H608" s="13"/>
    </row>
    <row r="609" spans="3:8" s="6" customFormat="1" ht="12.75">
      <c r="C609" s="18"/>
      <c r="D609" s="18"/>
      <c r="E609" s="8"/>
      <c r="F609" s="13"/>
      <c r="G609" s="13"/>
      <c r="H609" s="13"/>
    </row>
    <row r="610" spans="3:8" s="6" customFormat="1" ht="12.75">
      <c r="C610" s="18"/>
      <c r="D610" s="18"/>
      <c r="E610" s="8"/>
      <c r="F610" s="13"/>
      <c r="G610" s="13"/>
      <c r="H610" s="13"/>
    </row>
    <row r="611" spans="3:8" s="6" customFormat="1" ht="12.75">
      <c r="C611" s="18"/>
      <c r="D611" s="18"/>
      <c r="E611" s="8"/>
      <c r="F611" s="13"/>
      <c r="G611" s="13"/>
      <c r="H611" s="13"/>
    </row>
    <row r="612" spans="3:8" s="6" customFormat="1" ht="12.75">
      <c r="C612" s="18"/>
      <c r="D612" s="18"/>
      <c r="E612" s="8"/>
      <c r="F612" s="13"/>
      <c r="G612" s="13"/>
      <c r="H612" s="13"/>
    </row>
    <row r="613" spans="3:8" s="6" customFormat="1" ht="12.75">
      <c r="C613" s="18"/>
      <c r="D613" s="18"/>
      <c r="E613" s="8"/>
      <c r="F613" s="13"/>
      <c r="G613" s="13"/>
      <c r="H613" s="13"/>
    </row>
    <row r="614" spans="3:8" s="6" customFormat="1" ht="12.75">
      <c r="C614" s="18"/>
      <c r="D614" s="18"/>
      <c r="E614" s="8"/>
      <c r="F614" s="13"/>
      <c r="G614" s="13"/>
      <c r="H614" s="13"/>
    </row>
    <row r="615" spans="3:8" s="6" customFormat="1" ht="12.75">
      <c r="C615" s="18"/>
      <c r="D615" s="18"/>
      <c r="E615" s="8"/>
      <c r="F615" s="13"/>
      <c r="G615" s="13"/>
      <c r="H615" s="13"/>
    </row>
    <row r="616" spans="3:8" s="6" customFormat="1" ht="12.75">
      <c r="C616" s="18"/>
      <c r="D616" s="18"/>
      <c r="E616" s="8"/>
      <c r="F616" s="13"/>
      <c r="G616" s="13"/>
      <c r="H616" s="13"/>
    </row>
    <row r="617" spans="3:8" s="6" customFormat="1" ht="12.75">
      <c r="C617" s="18"/>
      <c r="D617" s="18"/>
      <c r="E617" s="8"/>
      <c r="F617" s="13"/>
      <c r="G617" s="13"/>
      <c r="H617" s="13"/>
    </row>
    <row r="618" spans="3:8" s="6" customFormat="1" ht="12.75">
      <c r="C618" s="18"/>
      <c r="D618" s="18"/>
      <c r="E618" s="8"/>
      <c r="F618" s="13"/>
      <c r="G618" s="13"/>
      <c r="H618" s="13"/>
    </row>
  </sheetData>
  <autoFilter ref="A1:XEV383"/>
  <hyperlinks>
    <hyperlink ref="C121" r:id="rId1" display="https://www.fcc.gov/ecfs/search/filings?proceedings_name=18-11&amp;sort=date_disseminated,DESC"/>
    <hyperlink ref="D121" r:id="rId2" display="https://apps.fcc.gov/edocs_public/Query.do?docket=18-11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Micah Caldwell</dc:creator>
  <cp:keywords/>
  <dc:description/>
  <cp:lastModifiedBy>Daniel Margolis</cp:lastModifiedBy>
  <dcterms:created xsi:type="dcterms:W3CDTF">2018-03-26T20:20:47Z</dcterms:created>
  <dcterms:modified xsi:type="dcterms:W3CDTF">2019-03-04T22:20:40Z</dcterms:modified>
  <cp:category/>
</cp:coreProperties>
</file>