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480" yWindow="50" windowWidth="19410" windowHeight="11010" tabRatio="959" activeTab="1"/>
  </bookViews>
  <sheets>
    <sheet name="Final &gt; &gt;" sheetId="11" r:id="rId1"/>
    <sheet name="Table 26" sheetId="1" r:id="rId2"/>
    <sheet name="Intermediate &gt; &gt;" sheetId="7" r:id="rId3"/>
    <sheet name="Market Share of Facilities" sheetId="15" r:id="rId4"/>
    <sheet name="Connections and Market Shares" sheetId="17" r:id="rId5"/>
    <sheet name="Churn" sheetId="8" r:id="rId6"/>
    <sheet name="Cumulative Capital Expenditure" sheetId="9" r:id="rId7"/>
    <sheet name="Raw &gt; &gt;" sheetId="5" r:id="rId8"/>
    <sheet name="Capital Expenditures" sheetId="4" r:id="rId9"/>
    <sheet name="Wireless Coverage - 2016" sheetId="2" r:id="rId10"/>
    <sheet name="UBS 411 Figure 35" sheetId="10" r:id="rId11"/>
    <sheet name="FCC 16 Connections" sheetId="19" r:id="rId12"/>
    <sheet name="FCC 19 Connections" sheetId="20" r:id="rId13"/>
    <sheet name="FCC 20 Connections" sheetId="21" r:id="rId14"/>
  </sheets>
  <definedNames>
    <definedName name="_xlnm.Print_Area" localSheetId="8">'Capital Expenditures'!$B$2:$N$14</definedName>
    <definedName name="_xlnm.Print_Area" localSheetId="5">Churn!$D$3:$L$20</definedName>
    <definedName name="_xlnm.Print_Area" localSheetId="4">'Connections and Market Shares'!$E$3:$AF$36</definedName>
    <definedName name="_xlnm.Print_Area" localSheetId="6">'Cumulative Capital Expenditure'!$C$3:$Q$19</definedName>
    <definedName name="_xlnm.Print_Area" localSheetId="11">'FCC 16 Connections'!$B$2:$G$22</definedName>
    <definedName name="_xlnm.Print_Area" localSheetId="12">'FCC 19 Connections'!$B$7:$F$30</definedName>
    <definedName name="_xlnm.Print_Area" localSheetId="13">'FCC 20 Connections'!$B$7:$G$30</definedName>
    <definedName name="_xlnm.Print_Area" localSheetId="3">'Market Share of Facilities'!$C$3:$M$33</definedName>
    <definedName name="_xlnm.Print_Area" localSheetId="1">'Table 26'!$D$4:$K$24</definedName>
    <definedName name="_xlnm.Print_Area" localSheetId="10">'UBS 411 Figure 35'!$C$2:$S$33</definedName>
    <definedName name="_xlnm.Print_Area" localSheetId="9">'Wireless Coverage - 2016'!$B$2:$H$15</definedName>
  </definedNames>
  <calcPr calcId="145621"/>
</workbook>
</file>

<file path=xl/calcChain.xml><?xml version="1.0" encoding="utf-8"?>
<calcChain xmlns="http://schemas.openxmlformats.org/spreadsheetml/2006/main">
  <c r="C31" i="15" l="1"/>
  <c r="C29" i="15" l="1"/>
  <c r="C28" i="15"/>
  <c r="C32" i="15"/>
  <c r="C30" i="15"/>
  <c r="C27" i="15"/>
  <c r="AE24" i="17" l="1"/>
  <c r="AB24" i="17"/>
  <c r="Y24" i="17"/>
  <c r="V24" i="17"/>
  <c r="S24" i="17"/>
  <c r="T20" i="17" s="1"/>
  <c r="AE23" i="17"/>
  <c r="AB23" i="17"/>
  <c r="Y23" i="17"/>
  <c r="V23" i="17"/>
  <c r="S23" i="17"/>
  <c r="J23" i="17"/>
  <c r="AE22" i="17"/>
  <c r="AB22" i="17"/>
  <c r="AC22" i="17" s="1"/>
  <c r="Y22" i="17"/>
  <c r="V22" i="17"/>
  <c r="W22" i="17" s="1"/>
  <c r="S22" i="17"/>
  <c r="P22" i="17"/>
  <c r="M22" i="17"/>
  <c r="J22" i="17"/>
  <c r="G22" i="17"/>
  <c r="AE21" i="17"/>
  <c r="AF21" i="17" s="1"/>
  <c r="AB21" i="17"/>
  <c r="AC21" i="17" s="1"/>
  <c r="Y21" i="17"/>
  <c r="Z21" i="17" s="1"/>
  <c r="V21" i="17"/>
  <c r="W21" i="17" s="1"/>
  <c r="S21" i="17"/>
  <c r="T21" i="17" s="1"/>
  <c r="P21" i="17"/>
  <c r="M21" i="17"/>
  <c r="J21" i="17"/>
  <c r="G21" i="17"/>
  <c r="AE20" i="17"/>
  <c r="AF20" i="17" s="1"/>
  <c r="AB20" i="17"/>
  <c r="AC20" i="17" s="1"/>
  <c r="Y20" i="17"/>
  <c r="Z20" i="17" s="1"/>
  <c r="V20" i="17"/>
  <c r="W20" i="17" s="1"/>
  <c r="S20" i="17"/>
  <c r="P20" i="17"/>
  <c r="M20" i="17"/>
  <c r="J20" i="17"/>
  <c r="G20" i="17"/>
  <c r="AE19" i="17"/>
  <c r="AF19" i="17" s="1"/>
  <c r="AB19" i="17"/>
  <c r="AC19" i="17" s="1"/>
  <c r="Y19" i="17"/>
  <c r="Z19" i="17" s="1"/>
  <c r="V19" i="17"/>
  <c r="W19" i="17" s="1"/>
  <c r="S19" i="17"/>
  <c r="T19" i="17" s="1"/>
  <c r="P19" i="17"/>
  <c r="M19" i="17"/>
  <c r="J19" i="17"/>
  <c r="C20" i="17" s="1"/>
  <c r="G19" i="17"/>
  <c r="C19" i="17" s="1"/>
  <c r="AE18" i="17"/>
  <c r="AF18" i="17" s="1"/>
  <c r="AB18" i="17"/>
  <c r="AC18" i="17" s="1"/>
  <c r="Y18" i="17"/>
  <c r="Z18" i="17" s="1"/>
  <c r="V18" i="17"/>
  <c r="W18" i="17" s="1"/>
  <c r="S18" i="17"/>
  <c r="P18" i="17"/>
  <c r="M18" i="17"/>
  <c r="J18" i="17"/>
  <c r="G18" i="17"/>
  <c r="AE17" i="17"/>
  <c r="AF17" i="17" s="1"/>
  <c r="AB17" i="17"/>
  <c r="AC17" i="17" s="1"/>
  <c r="Y17" i="17"/>
  <c r="Z17" i="17" s="1"/>
  <c r="V17" i="17"/>
  <c r="W17" i="17" s="1"/>
  <c r="S17" i="17"/>
  <c r="P17" i="17"/>
  <c r="M17" i="17"/>
  <c r="J17" i="17"/>
  <c r="G17" i="17"/>
  <c r="AE16" i="17"/>
  <c r="AF16" i="17" s="1"/>
  <c r="AB16" i="17"/>
  <c r="AC16" i="17" s="1"/>
  <c r="Y16" i="17"/>
  <c r="Z16" i="17" s="1"/>
  <c r="V16" i="17"/>
  <c r="W16" i="17" s="1"/>
  <c r="S16" i="17"/>
  <c r="P16" i="17"/>
  <c r="M16" i="17"/>
  <c r="J16" i="17"/>
  <c r="G16" i="17"/>
  <c r="AE15" i="17"/>
  <c r="AF15" i="17" s="1"/>
  <c r="AB15" i="17"/>
  <c r="AC15" i="17" s="1"/>
  <c r="Y15" i="17"/>
  <c r="Z15" i="17" s="1"/>
  <c r="V15" i="17"/>
  <c r="W15" i="17" s="1"/>
  <c r="S15" i="17"/>
  <c r="P15" i="17"/>
  <c r="M15" i="17"/>
  <c r="J15" i="17"/>
  <c r="G15" i="17"/>
  <c r="AE14" i="17"/>
  <c r="AF14" i="17" s="1"/>
  <c r="AB14" i="17"/>
  <c r="AC14" i="17" s="1"/>
  <c r="Y14" i="17"/>
  <c r="Z14" i="17" s="1"/>
  <c r="V14" i="17"/>
  <c r="W14" i="17" s="1"/>
  <c r="S14" i="17"/>
  <c r="P14" i="17"/>
  <c r="M14" i="17"/>
  <c r="J14" i="17"/>
  <c r="G14" i="17"/>
  <c r="AE13" i="17"/>
  <c r="AF13" i="17" s="1"/>
  <c r="AB13" i="17"/>
  <c r="AC13" i="17" s="1"/>
  <c r="Y13" i="17"/>
  <c r="Z13" i="17" s="1"/>
  <c r="V13" i="17"/>
  <c r="W13" i="17" s="1"/>
  <c r="S13" i="17"/>
  <c r="T13" i="17" s="1"/>
  <c r="P13" i="17"/>
  <c r="M13" i="17"/>
  <c r="J13" i="17"/>
  <c r="G13" i="17"/>
  <c r="AE12" i="17"/>
  <c r="AF12" i="17" s="1"/>
  <c r="AB12" i="17"/>
  <c r="AC12" i="17" s="1"/>
  <c r="Y12" i="17"/>
  <c r="Z12" i="17" s="1"/>
  <c r="V12" i="17"/>
  <c r="W12" i="17" s="1"/>
  <c r="S12" i="17"/>
  <c r="P12" i="17"/>
  <c r="M12" i="17"/>
  <c r="J12" i="17"/>
  <c r="G12" i="17"/>
  <c r="B12" i="17"/>
  <c r="AE11" i="17"/>
  <c r="AF11" i="17" s="1"/>
  <c r="AB11" i="17"/>
  <c r="AC11" i="17" s="1"/>
  <c r="Y11" i="17"/>
  <c r="Z11" i="17" s="1"/>
  <c r="V11" i="17"/>
  <c r="W11" i="17" s="1"/>
  <c r="S11" i="17"/>
  <c r="T11" i="17" s="1"/>
  <c r="P11" i="17"/>
  <c r="M11" i="17"/>
  <c r="J11" i="17"/>
  <c r="G11" i="17"/>
  <c r="F11" i="17"/>
  <c r="C4" i="17"/>
  <c r="C3" i="17"/>
  <c r="AF1" i="17"/>
  <c r="AC1" i="17"/>
  <c r="Z1" i="17"/>
  <c r="W1" i="17"/>
  <c r="T1" i="17"/>
  <c r="Q1" i="17"/>
  <c r="N1" i="17"/>
  <c r="K1" i="17"/>
  <c r="H1" i="17"/>
  <c r="A10" i="15"/>
  <c r="D9" i="15"/>
  <c r="A9" i="15"/>
  <c r="D8" i="15"/>
  <c r="G6" i="15"/>
  <c r="F6" i="15"/>
  <c r="F1" i="15"/>
  <c r="E1" i="15"/>
  <c r="AF22" i="17" l="1"/>
  <c r="Z22" i="17"/>
  <c r="T17" i="17"/>
  <c r="T18" i="17"/>
  <c r="T22" i="17"/>
  <c r="T14" i="17"/>
  <c r="T15" i="17"/>
  <c r="T12" i="17"/>
  <c r="T16" i="17"/>
  <c r="J24" i="17"/>
  <c r="K13" i="17" s="1"/>
  <c r="F10" i="15" s="1"/>
  <c r="P24" i="17"/>
  <c r="Q13" i="17" s="1"/>
  <c r="K12" i="17"/>
  <c r="F9" i="15" s="1"/>
  <c r="H6" i="15"/>
  <c r="A11" i="15"/>
  <c r="D11" i="15" s="1"/>
  <c r="D10" i="15"/>
  <c r="Q15" i="17"/>
  <c r="K18" i="17"/>
  <c r="F15" i="15" s="1"/>
  <c r="K17" i="17"/>
  <c r="K20" i="17"/>
  <c r="F17" i="15" s="1"/>
  <c r="K22" i="17"/>
  <c r="F19" i="15" s="1"/>
  <c r="K15" i="17"/>
  <c r="Q21" i="17"/>
  <c r="G1" i="15"/>
  <c r="Q18" i="17"/>
  <c r="Q17" i="17"/>
  <c r="Q16" i="17"/>
  <c r="Q20" i="17"/>
  <c r="Q14" i="17"/>
  <c r="G24" i="17"/>
  <c r="H14" i="17" s="1"/>
  <c r="E11" i="15" s="1"/>
  <c r="Q22" i="17"/>
  <c r="F12" i="15"/>
  <c r="C21" i="17"/>
  <c r="M24" i="17" s="1"/>
  <c r="N13" i="17" s="1"/>
  <c r="B13" i="17"/>
  <c r="F13" i="17" s="1"/>
  <c r="F14" i="15"/>
  <c r="Q11" i="17"/>
  <c r="F12" i="17"/>
  <c r="K19" i="17"/>
  <c r="F16" i="15" s="1"/>
  <c r="H21" i="17" l="1"/>
  <c r="E18" i="15" s="1"/>
  <c r="K14" i="17"/>
  <c r="F11" i="15" s="1"/>
  <c r="F21" i="15"/>
  <c r="Q12" i="17"/>
  <c r="K16" i="17"/>
  <c r="F13" i="15" s="1"/>
  <c r="K21" i="17"/>
  <c r="F18" i="15" s="1"/>
  <c r="K11" i="17"/>
  <c r="F8" i="15" s="1"/>
  <c r="G10" i="15"/>
  <c r="N19" i="17"/>
  <c r="G16" i="15" s="1"/>
  <c r="H22" i="17"/>
  <c r="E19" i="15" s="1"/>
  <c r="N20" i="17"/>
  <c r="G17" i="15" s="1"/>
  <c r="N18" i="17"/>
  <c r="G15" i="15" s="1"/>
  <c r="N17" i="17"/>
  <c r="G14" i="15" s="1"/>
  <c r="Q19" i="17"/>
  <c r="H13" i="17"/>
  <c r="E10" i="15" s="1"/>
  <c r="H16" i="17"/>
  <c r="E13" i="15" s="1"/>
  <c r="H12" i="17"/>
  <c r="E9" i="15" s="1"/>
  <c r="A12" i="15"/>
  <c r="B14" i="17"/>
  <c r="H20" i="17"/>
  <c r="E17" i="15" s="1"/>
  <c r="H18" i="17"/>
  <c r="E15" i="15" s="1"/>
  <c r="H17" i="17"/>
  <c r="E14" i="15" s="1"/>
  <c r="E21" i="15"/>
  <c r="N22" i="17"/>
  <c r="G19" i="15" s="1"/>
  <c r="N11" i="17"/>
  <c r="G8" i="15" s="1"/>
  <c r="N21" i="17"/>
  <c r="G18" i="15" s="1"/>
  <c r="H19" i="17"/>
  <c r="E16" i="15" s="1"/>
  <c r="N12" i="17"/>
  <c r="G9" i="15" s="1"/>
  <c r="H21" i="15"/>
  <c r="H1" i="15"/>
  <c r="I6" i="15"/>
  <c r="N15" i="17"/>
  <c r="G12" i="15" s="1"/>
  <c r="N14" i="17"/>
  <c r="G11" i="15" s="1"/>
  <c r="H15" i="17"/>
  <c r="E12" i="15" s="1"/>
  <c r="N16" i="17"/>
  <c r="G13" i="15" s="1"/>
  <c r="H11" i="17"/>
  <c r="E8" i="15" s="1"/>
  <c r="G21" i="15"/>
  <c r="B15" i="17" l="1"/>
  <c r="F15" i="17" s="1"/>
  <c r="J6" i="15"/>
  <c r="I21" i="15"/>
  <c r="I1" i="15"/>
  <c r="F14" i="17"/>
  <c r="D12" i="15"/>
  <c r="A14" i="15"/>
  <c r="D14" i="15" s="1"/>
  <c r="A13" i="15"/>
  <c r="D13" i="15" s="1"/>
  <c r="B16" i="17"/>
  <c r="F16" i="17" s="1"/>
  <c r="H16" i="15"/>
  <c r="H12" i="15"/>
  <c r="H8" i="15"/>
  <c r="H17" i="15"/>
  <c r="H13" i="15"/>
  <c r="H18" i="15"/>
  <c r="H14" i="15"/>
  <c r="H10" i="15"/>
  <c r="H15" i="15"/>
  <c r="H19" i="15"/>
  <c r="H9" i="15"/>
  <c r="H11" i="15"/>
  <c r="I17" i="15" l="1"/>
  <c r="I13" i="15"/>
  <c r="I9" i="15"/>
  <c r="I18" i="15"/>
  <c r="I14" i="15"/>
  <c r="I19" i="15"/>
  <c r="I15" i="15"/>
  <c r="I11" i="15"/>
  <c r="I12" i="15"/>
  <c r="I10" i="15"/>
  <c r="I8" i="15"/>
  <c r="I16" i="15"/>
  <c r="B18" i="17"/>
  <c r="F18" i="17" s="1"/>
  <c r="B17" i="17"/>
  <c r="F17" i="17" s="1"/>
  <c r="B19" i="17"/>
  <c r="F19" i="17" s="1"/>
  <c r="J1" i="15"/>
  <c r="J21" i="15"/>
  <c r="K6" i="15"/>
  <c r="A15" i="15"/>
  <c r="A16" i="15" s="1"/>
  <c r="D16" i="15" l="1"/>
  <c r="A17" i="15"/>
  <c r="D17" i="15" s="1"/>
  <c r="J18" i="15"/>
  <c r="J14" i="15"/>
  <c r="J10" i="15"/>
  <c r="J19" i="15"/>
  <c r="J15" i="15"/>
  <c r="J11" i="15"/>
  <c r="J16" i="15"/>
  <c r="J12" i="15"/>
  <c r="J8" i="15"/>
  <c r="J13" i="15"/>
  <c r="J9" i="15"/>
  <c r="J17" i="15"/>
  <c r="B20" i="17"/>
  <c r="D15" i="15"/>
  <c r="A18" i="15"/>
  <c r="D18" i="15" s="1"/>
  <c r="K21" i="15"/>
  <c r="L6" i="15"/>
  <c r="K1" i="15"/>
  <c r="K19" i="15" l="1"/>
  <c r="K15" i="15"/>
  <c r="K11" i="15"/>
  <c r="K16" i="15"/>
  <c r="K12" i="15"/>
  <c r="K17" i="15"/>
  <c r="K13" i="15"/>
  <c r="K9" i="15"/>
  <c r="K14" i="15"/>
  <c r="K18" i="15"/>
  <c r="K10" i="15"/>
  <c r="K8" i="15"/>
  <c r="A19" i="15"/>
  <c r="D19" i="15" s="1"/>
  <c r="L21" i="15"/>
  <c r="L1" i="15"/>
  <c r="M6" i="15"/>
  <c r="A21" i="15"/>
  <c r="D21" i="15" s="1"/>
  <c r="C33" i="15" s="1"/>
  <c r="F20" i="17"/>
  <c r="B21" i="17"/>
  <c r="F21" i="17" l="1"/>
  <c r="B22" i="17"/>
  <c r="F22" i="17" s="1"/>
  <c r="L16" i="15"/>
  <c r="L12" i="15"/>
  <c r="L8" i="15"/>
  <c r="L17" i="15"/>
  <c r="L13" i="15"/>
  <c r="L18" i="15"/>
  <c r="L14" i="15"/>
  <c r="L10" i="15"/>
  <c r="L19" i="15"/>
  <c r="L9" i="15"/>
  <c r="L11" i="15"/>
  <c r="L15" i="15"/>
  <c r="M21" i="15"/>
  <c r="M1" i="15"/>
  <c r="B24" i="17" l="1"/>
  <c r="F24" i="17" s="1"/>
  <c r="M17" i="15"/>
  <c r="M13" i="15"/>
  <c r="M9" i="15"/>
  <c r="E11" i="1" s="1"/>
  <c r="M18" i="15"/>
  <c r="M14" i="15"/>
  <c r="M19" i="15"/>
  <c r="M15" i="15"/>
  <c r="M11" i="15"/>
  <c r="E13" i="1" s="1"/>
  <c r="M16" i="15"/>
  <c r="M10" i="15"/>
  <c r="E12" i="1" s="1"/>
  <c r="M8" i="15"/>
  <c r="E10" i="1" s="1"/>
  <c r="M12" i="15"/>
  <c r="F11" i="1" l="1"/>
  <c r="G11" i="1"/>
  <c r="F12" i="1"/>
  <c r="G12" i="1"/>
  <c r="F13" i="1"/>
  <c r="G13" i="1"/>
  <c r="G10" i="1"/>
  <c r="F10" i="1"/>
  <c r="F11" i="9"/>
  <c r="A8" i="10"/>
  <c r="A9" i="10"/>
  <c r="A10" i="10"/>
  <c r="A11" i="10"/>
  <c r="A7" i="10"/>
  <c r="H9" i="8" s="1"/>
  <c r="A10" i="8"/>
  <c r="A11" i="8"/>
  <c r="A12" i="8"/>
  <c r="A9" i="8"/>
  <c r="F1" i="8"/>
  <c r="F7" i="8" s="1"/>
  <c r="F10" i="8" l="1"/>
  <c r="I11" i="8"/>
  <c r="H10" i="8"/>
  <c r="G9" i="8"/>
  <c r="F9" i="8"/>
  <c r="I12" i="8"/>
  <c r="H11" i="8"/>
  <c r="G10" i="8"/>
  <c r="F12" i="8"/>
  <c r="H12" i="8"/>
  <c r="G11" i="8"/>
  <c r="I9" i="8"/>
  <c r="F11" i="8"/>
  <c r="G12" i="8"/>
  <c r="I10" i="8"/>
  <c r="G1" i="8"/>
  <c r="G7" i="8" s="1"/>
  <c r="J9" i="8" l="1"/>
  <c r="J10" i="8"/>
  <c r="J12" i="8"/>
  <c r="J11" i="8"/>
  <c r="H1" i="8"/>
  <c r="H7" i="8" s="1"/>
  <c r="I1" i="8" l="1"/>
  <c r="I7" i="8" l="1"/>
  <c r="D17" i="8" s="1"/>
  <c r="J1" i="8"/>
  <c r="K1" i="8" s="1"/>
  <c r="L1" i="8" s="1"/>
  <c r="I12" i="9" l="1"/>
  <c r="I10" i="9"/>
  <c r="H9" i="9"/>
  <c r="G9" i="9"/>
  <c r="F9" i="9"/>
  <c r="F1" i="9"/>
  <c r="F7" i="9" s="1"/>
  <c r="F10" i="9"/>
  <c r="F12" i="9"/>
  <c r="G6" i="9"/>
  <c r="G1" i="9" l="1"/>
  <c r="G7" i="9" s="1"/>
  <c r="G12" i="9"/>
  <c r="G11" i="9"/>
  <c r="H6" i="9"/>
  <c r="G10" i="9"/>
  <c r="H1" i="9" l="1"/>
  <c r="H7" i="9" s="1"/>
  <c r="H12" i="9"/>
  <c r="H10" i="9"/>
  <c r="I6" i="9"/>
  <c r="H11" i="9"/>
  <c r="D12" i="9"/>
  <c r="D11" i="9"/>
  <c r="D10" i="9"/>
  <c r="D9" i="9"/>
  <c r="C7" i="9"/>
  <c r="A12" i="9"/>
  <c r="A11" i="9"/>
  <c r="A10" i="9"/>
  <c r="E9" i="8"/>
  <c r="D7" i="8"/>
  <c r="J7" i="8"/>
  <c r="D18" i="8" s="1"/>
  <c r="B10" i="8"/>
  <c r="K11" i="8" l="1"/>
  <c r="L11" i="8" s="1"/>
  <c r="K12" i="1" s="1"/>
  <c r="J12" i="1"/>
  <c r="K10" i="8"/>
  <c r="L10" i="8" s="1"/>
  <c r="K11" i="1" s="1"/>
  <c r="J11" i="1"/>
  <c r="K9" i="8"/>
  <c r="L9" i="8" s="1"/>
  <c r="K10" i="1" s="1"/>
  <c r="J10" i="1"/>
  <c r="K12" i="8"/>
  <c r="L12" i="8" s="1"/>
  <c r="K13" i="1" s="1"/>
  <c r="J13" i="1"/>
  <c r="I1" i="9"/>
  <c r="J6" i="9"/>
  <c r="I11" i="9"/>
  <c r="I9" i="9"/>
  <c r="B12" i="8"/>
  <c r="E12" i="8" s="1"/>
  <c r="L7" i="8"/>
  <c r="E10" i="8"/>
  <c r="B11" i="8"/>
  <c r="E11" i="8" s="1"/>
  <c r="I7" i="9" l="1"/>
  <c r="J1" i="9"/>
  <c r="K6" i="9"/>
  <c r="J10" i="9"/>
  <c r="J11" i="9"/>
  <c r="J12" i="9"/>
  <c r="J9" i="9"/>
  <c r="K7" i="8"/>
  <c r="D19" i="8" s="1"/>
  <c r="J7" i="9" l="1"/>
  <c r="K1" i="9"/>
  <c r="K7" i="9" s="1"/>
  <c r="L6" i="9"/>
  <c r="K9" i="9"/>
  <c r="K10" i="9"/>
  <c r="K11" i="9"/>
  <c r="K12" i="9"/>
  <c r="D20" i="8"/>
  <c r="L1" i="9" l="1"/>
  <c r="M6" i="9"/>
  <c r="L12" i="9"/>
  <c r="L9" i="9"/>
  <c r="L10" i="9"/>
  <c r="L11" i="9"/>
  <c r="D8" i="1"/>
  <c r="E2" i="1"/>
  <c r="B11" i="1"/>
  <c r="B12" i="1" s="1"/>
  <c r="F2" i="1" l="1"/>
  <c r="G2" i="1" s="1"/>
  <c r="G8" i="1" s="1"/>
  <c r="D20" i="1" s="1"/>
  <c r="L7" i="9"/>
  <c r="M1" i="9"/>
  <c r="N6" i="9"/>
  <c r="M11" i="9"/>
  <c r="M12" i="9"/>
  <c r="M9" i="9"/>
  <c r="M10" i="9"/>
  <c r="E8" i="1"/>
  <c r="D18" i="1" s="1"/>
  <c r="B13" i="1"/>
  <c r="H2" i="1" l="1"/>
  <c r="I2" i="1" s="1"/>
  <c r="I8" i="1" s="1"/>
  <c r="D22" i="1" s="1"/>
  <c r="F8" i="1"/>
  <c r="D19" i="1" s="1"/>
  <c r="N1" i="9"/>
  <c r="N7" i="9" s="1"/>
  <c r="M7" i="9"/>
  <c r="N10" i="9"/>
  <c r="O6" i="9"/>
  <c r="N11" i="9"/>
  <c r="N12" i="9"/>
  <c r="N9" i="9"/>
  <c r="O1" i="9" l="1"/>
  <c r="O7" i="9" s="1"/>
  <c r="C17" i="9" s="1"/>
  <c r="H8" i="1"/>
  <c r="D21" i="1" s="1"/>
  <c r="O9" i="9"/>
  <c r="P9" i="9" s="1"/>
  <c r="H10" i="1" s="1"/>
  <c r="O10" i="9"/>
  <c r="O11" i="9"/>
  <c r="O12" i="9"/>
  <c r="J2" i="1"/>
  <c r="K2" i="1" s="1"/>
  <c r="K8" i="1" s="1"/>
  <c r="D24" i="1" s="1"/>
  <c r="Q1" i="9" l="1"/>
  <c r="Q7" i="9" s="1"/>
  <c r="C19" i="9" s="1"/>
  <c r="P1" i="9"/>
  <c r="P7" i="9" s="1"/>
  <c r="C18" i="9" s="1"/>
  <c r="Q10" i="9"/>
  <c r="I11" i="1" s="1"/>
  <c r="P10" i="9"/>
  <c r="H11" i="1" s="1"/>
  <c r="Q12" i="9"/>
  <c r="I13" i="1" s="1"/>
  <c r="P12" i="9"/>
  <c r="H13" i="1" s="1"/>
  <c r="Q11" i="9"/>
  <c r="I12" i="1" s="1"/>
  <c r="P11" i="9"/>
  <c r="H12" i="1" s="1"/>
  <c r="Q9" i="9"/>
  <c r="I10" i="1" s="1"/>
  <c r="J8" i="1"/>
  <c r="D23" i="1" s="1"/>
</calcChain>
</file>

<file path=xl/sharedStrings.xml><?xml version="1.0" encoding="utf-8"?>
<sst xmlns="http://schemas.openxmlformats.org/spreadsheetml/2006/main" count="305" uniqueCount="109">
  <si>
    <t>Provider</t>
  </si>
  <si>
    <t>AT&amp;T</t>
  </si>
  <si>
    <t>Sprint</t>
  </si>
  <si>
    <t>T-Mobile</t>
  </si>
  <si>
    <t>Verizon Wireless</t>
  </si>
  <si>
    <t>Covered Square Miles</t>
  </si>
  <si>
    <t>Covered Road Miles</t>
  </si>
  <si>
    <t>U.S. Total</t>
  </si>
  <si>
    <t>Clearwire</t>
  </si>
  <si>
    <t>*</t>
  </si>
  <si>
    <t>Leap</t>
  </si>
  <si>
    <t>US Cellular</t>
  </si>
  <si>
    <t>Atlantic Tele-Network</t>
  </si>
  <si>
    <t>Cincinnati Bell Wireless</t>
  </si>
  <si>
    <t>NTELOS</t>
  </si>
  <si>
    <t>Notes:</t>
  </si>
  <si>
    <t>1Q13</t>
  </si>
  <si>
    <t>2Q13</t>
  </si>
  <si>
    <t>3Q13</t>
  </si>
  <si>
    <t>4Q13</t>
  </si>
  <si>
    <t>1Q14</t>
  </si>
  <si>
    <t>2Q14</t>
  </si>
  <si>
    <t>3Q14</t>
  </si>
  <si>
    <t>4Q14</t>
  </si>
  <si>
    <t>1Q15</t>
  </si>
  <si>
    <t>2Q15</t>
  </si>
  <si>
    <t>3Q15</t>
  </si>
  <si>
    <t>4Q15</t>
  </si>
  <si>
    <t>1Q16</t>
  </si>
  <si>
    <t>2Q16</t>
  </si>
  <si>
    <t>3Q16</t>
  </si>
  <si>
    <t>4Q16</t>
  </si>
  <si>
    <t>Average Monthly Churn</t>
  </si>
  <si>
    <t>Annual Churn Percentage</t>
  </si>
  <si>
    <t>Cumulative Capital Investment ($ Millions Last 10 Years)</t>
  </si>
  <si>
    <t>Cumulative Capital Investment ($ Millions Last 5 Years)</t>
  </si>
  <si>
    <t>Average Subscription Life (Years)</t>
  </si>
  <si>
    <t>2016 Market Share</t>
  </si>
  <si>
    <t>2016 Churn</t>
  </si>
  <si>
    <t>Estimated Overall Wireless Coverage in the U.S. by Service Provider as of December 2016</t>
  </si>
  <si>
    <t>Figure 35: Monthly Churn and Net Adds</t>
  </si>
  <si>
    <t>Monthly Churn</t>
  </si>
  <si>
    <t>Industry Weighted Avg.</t>
  </si>
  <si>
    <t>Disconnects</t>
  </si>
  <si>
    <t>Total Disconnects</t>
  </si>
  <si>
    <t>% yoy growth</t>
  </si>
  <si>
    <t>Total Net Additions</t>
  </si>
  <si>
    <t>Cumulative Capital Investments, 2007-2016</t>
  </si>
  <si>
    <t>2016 U.S. Wireless Provider Comparison</t>
  </si>
  <si>
    <t xml:space="preserve">Note: For 2005 through 2009 capital expenditures are estimated based on FCC chart. </t>
  </si>
  <si>
    <t>Covered Population</t>
  </si>
  <si>
    <t>Share of Total US Road Miles</t>
  </si>
  <si>
    <t>Yearly Capital Expenditures ($ Millions) by Service Provider, 2005-2016</t>
  </si>
  <si>
    <t>Net Additions (excl. acquisitions)</t>
  </si>
  <si>
    <t>Market Share of Facilities Based Mobile Wireless Service Providers, 2008 - 2016</t>
  </si>
  <si>
    <t>MetroPCS</t>
  </si>
  <si>
    <t>Leap Wireless</t>
  </si>
  <si>
    <t>U.S. Cellular</t>
  </si>
  <si>
    <t>C Spire Wireless</t>
  </si>
  <si>
    <t>Estimated Total Connections ('000s)</t>
  </si>
  <si>
    <t>Market share is each providers estimated connections divided by the estimated total connections in a given year.</t>
  </si>
  <si>
    <t>Estimated Total Connections and Market Share of Facilities-Based Mobile Wireless Service Providers</t>
  </si>
  <si>
    <t>2008-2016</t>
  </si>
  <si>
    <t>Estimated  Connections ('000s)</t>
  </si>
  <si>
    <t>Market Share</t>
  </si>
  <si>
    <t>Cincinnati Bell</t>
  </si>
  <si>
    <t>Total Estimated Connections</t>
  </si>
  <si>
    <t>Table 13: Top-12 Facilities–Based Mobile Wireless Service Providers Reported Connections</t>
  </si>
  <si>
    <t>Year-end 2008-2012 Q2 (In thousands)</t>
  </si>
  <si>
    <t>Service Provider</t>
  </si>
  <si>
    <t>2012 Q2</t>
  </si>
  <si>
    <t>Sprint Nextel</t>
  </si>
  <si>
    <t>≈800</t>
  </si>
  <si>
    <t>NA</t>
  </si>
  <si>
    <t>≈1,000</t>
  </si>
  <si>
    <t xml:space="preserve"> </t>
  </si>
  <si>
    <t>Estimated Total Connections for Publicly Traded Facilities–Based Mobile Wireless Service Providers (in thousands): 2012–2015</t>
  </si>
  <si>
    <t>Nationwide Service Providers</t>
  </si>
  <si>
    <t>EOY 2012</t>
  </si>
  <si>
    <t>EOY 2013</t>
  </si>
  <si>
    <t>EOY 2014</t>
  </si>
  <si>
    <t>EOY 2015</t>
  </si>
  <si>
    <t>Nationwide Service Provider Total</t>
  </si>
  <si>
    <t>Regional Service Providers</t>
  </si>
  <si>
    <t>Regional Service Provider Total</t>
  </si>
  <si>
    <r>
      <rPr>
        <b/>
        <sz val="14"/>
        <color theme="8"/>
        <rFont val="Calibri"/>
        <family val="2"/>
        <scheme val="minor"/>
      </rPr>
      <t>Estimated</t>
    </r>
    <r>
      <rPr>
        <b/>
        <i/>
        <sz val="14"/>
        <color theme="8"/>
        <rFont val="Calibri"/>
        <family val="2"/>
        <scheme val="minor"/>
      </rPr>
      <t xml:space="preserve"> </t>
    </r>
    <r>
      <rPr>
        <b/>
        <sz val="14"/>
        <color theme="8"/>
        <rFont val="Calibri"/>
        <family val="2"/>
        <scheme val="minor"/>
      </rPr>
      <t>Total Connections for Publicly Traded Facilities–Based Mobile Wireless Service Providers (in thousands):  2013–2016</t>
    </r>
  </si>
  <si>
    <t>EOY 2016</t>
  </si>
  <si>
    <t>EOY 2016 (%)</t>
  </si>
  <si>
    <t>Share of Total U.S. Population Covered</t>
  </si>
  <si>
    <t>Share of Total U.S. Square Miles Covered</t>
  </si>
  <si>
    <t>Total 5 Year Capital Investment</t>
  </si>
  <si>
    <t>Total 10 Year Capital Investment</t>
  </si>
  <si>
    <t>Verizon</t>
  </si>
  <si>
    <r>
      <t>Sources: Estimated total connections, coverage data, and capital expenditure data from  2010 through 2016 from the 20</t>
    </r>
    <r>
      <rPr>
        <vertAlign val="superscript"/>
        <sz val="11"/>
        <color theme="1"/>
        <rFont val="Calibri"/>
        <family val="2"/>
        <scheme val="minor"/>
      </rPr>
      <t>th</t>
    </r>
    <r>
      <rPr>
        <sz val="11"/>
        <color theme="1"/>
        <rFont val="Calibri"/>
        <family val="2"/>
        <scheme val="minor"/>
      </rPr>
      <t xml:space="preserve"> Mobile Wireless Competition Report, pp. 15, 48, and 80. Capital expenditure data from 2005 through 2009 from the 15</t>
    </r>
    <r>
      <rPr>
        <vertAlign val="superscript"/>
        <sz val="11"/>
        <color theme="1"/>
        <rFont val="Calibri"/>
        <family val="2"/>
        <scheme val="minor"/>
      </rPr>
      <t>th</t>
    </r>
    <r>
      <rPr>
        <sz val="11"/>
        <color theme="1"/>
        <rFont val="Calibri"/>
        <family val="2"/>
        <scheme val="minor"/>
      </rPr>
      <t xml:space="preserve"> Mobile Wireless Competition Report, p. 132. Churn data UBS Wireless Report, p. 19.</t>
    </r>
  </si>
  <si>
    <r>
      <t xml:space="preserve">Sources: For 2008 through 2011, Sixteenth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11-186, FCC, March 21, 2013, p. 55 at Table 13, https://apps.fcc.gov/edocs_public/attachmatch/FCC-13-34A1.pdf, accessed August 23, 2018. For 2012,  Nineteenth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16-137, FCC, September 23, 2016, p. 11 at Table II.B.1, https://apps.fcc.gov/edocs_public/attachmatch/DA-16-1061A1.pdf, accessed August 23, 2018. For 2013 through 2016, Twentieth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17-69, FCC, September 27, 2017, p. 15 at Table II.B.1, http://transition.fcc.gov/Daily_Releases/Daily_Business/2017/db0927/FCC-17-126A1.pdf, accessed August 23, 2018. </t>
    </r>
  </si>
  <si>
    <r>
      <t xml:space="preserve">Sources: For 2008 through 2011, Sixteenth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11-186, FCC, March 21, 2013, p. 55 at Table 13, https://apps.fcc.gov/edocs_public/attachmatch/FCC-13-34A1.pdf, accessed August 23, 2018. For 2012,  Nineteenth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16-137, FCC, September 23, 2016, p. 11 at Table II.B.1, https://apps.fcc.gov/edocs_public/attachmatch/DA-16-1061A1.pdf, accessed August 23, 2018. For 2013 through 2016, Twentieth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17-69, FCC, September 27, 2017, p. 15 at Table II.B.1,http://transition.fcc.gov/Daily_Releases/Daily_Business/2017/db0927/FCC-17-126A1.pdf, accessed August 23, 2018. </t>
    </r>
  </si>
  <si>
    <t>[5]: Purchased by Sprint on December 17, 2012 as reported in "Sprint Completes Acquisition of Clearwire," Sprint press release, July 9, 2013, on the Sprint website, http//newsroom.sprint.com/sprint-completes-acquisition-of-clearwire.htm, accessed August 23, 2018.</t>
  </si>
  <si>
    <t>[10]: U.S. retail wireless assets operated under Alltel brand purchased by AT&amp;T on September 10, 2013 as reported in "AT&amp;T Completes Acquisition of Alltel Assets; Provides Third-Quarter Update on Strong Smartphone and U-verse Sales," AT&amp;T press release, September 20, 2013, on the AT&amp;T website, https://www.att.com/gen/press-room?pid=24815&amp;cdvn=news&amp;newsarticleid=37011, accessed August 23, 2018.</t>
  </si>
  <si>
    <t>[11]: Spectrum purchased by Verizon Wireless on April 7, 2014 as reported in Phil Goldstein, "Cincinnati Bell quits wireless business, will sell spectrum to Verizon for $210M," Fierce Wireless, April 7, 2014, https://www.fiercewireless.com/wireless/cincinnati-bell-quits-wireless-business-will-sell-spectrum-to-verizon-for-210m, accessed August 23, 2018.</t>
  </si>
  <si>
    <t>[12]: Purchased by Shenandoah Telecommunications (an affiliate of Sprint) on August 10, 2015 as reported in Phil Goldstein, "Sprint affiliate Shentel buys fellow wholesale partner nTelos for $640M," Fierce Wireless, August 10, 2015, https://www.fiercewireless.com/wireless/sprint-affiliate-shentel-buys-fellow-wholesale-partner-ntelos-for-640m, accessed August 23, 2018.</t>
  </si>
  <si>
    <t>[13]: For 2008 through 2011, sum of estimated connections for all providers for each year. For 2012 through 2016, estimated total connections as reported in 19th and 20th FCC reports. The estimated total connections equal the sum of estimated connections for all providers in these years as well.</t>
  </si>
  <si>
    <t xml:space="preserve">Source: John C. Hodulik, Batya Levi, Lisa L. Friedman, and Christopher Schoell, "US Wireless 411: Version 51," UBS, March 18, 2014, p. 19. </t>
  </si>
  <si>
    <r>
      <t xml:space="preserve">Sources: For 2010 through 2016, Twentieth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WT Docket No. 17-69, FCC, September 27, 2017, p. 48 at Chart III.C.1, http://transition.fcc.gov/Daily_Releases/Daily_Business/2017/db0927/FCC-17-126A1.pdf, accessed August 23, 2018. For 2005 through 2009, Fifteenth Report,</t>
    </r>
    <r>
      <rPr>
        <i/>
        <sz val="11"/>
        <color theme="1"/>
        <rFont val="Calibri"/>
        <family val="2"/>
        <scheme val="minor"/>
      </rPr>
      <t xml:space="preserve"> 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WT Docket No. 10-133, FCC, June 27, 2011, p. 132 at Chart 30, https://apps.fcc.gov/edocs_public/attachmatch/FCC-11-103A1.pdf, accessed August 23, 2018.</t>
    </r>
  </si>
  <si>
    <r>
      <t xml:space="preserve">Source: Coverage data from Twentieth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17-69, FCC, September 27, 2017, p. 80 at Appendix III: Table III.D.iii, http://transition.fcc.gov/Daily_Releases/Daily_Business/2017/db0927/FCC-17-126A1.pdf, accessed August 23, 2018. </t>
    </r>
  </si>
  <si>
    <r>
      <t xml:space="preserve">Source: Sixteenth Report, </t>
    </r>
    <r>
      <rPr>
        <i/>
        <sz val="1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rFont val="Calibri"/>
        <family val="2"/>
        <scheme val="minor"/>
      </rPr>
      <t>, WT Docket No. 11-186, FCC, March 21, 2013, p. 55 at Table 13, https://apps.fcc.gov/edocs_public/attachmatch/FCC-13-34A1.pdf, accessed August 23, 2018.</t>
    </r>
  </si>
  <si>
    <r>
      <t xml:space="preserve">Source: Nineteenth Report, </t>
    </r>
    <r>
      <rPr>
        <i/>
        <sz val="1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rFont val="Calibri"/>
        <family val="2"/>
        <scheme val="minor"/>
      </rPr>
      <t>, WT Docket No. 16-137, FCC, September 23, 2016, p. 11 at Table II.B.1, https://apps.fcc.gov/edocs_public/attachmatch/DA-16-1061A1.pdf, accessed August 23, 2018.</t>
    </r>
  </si>
  <si>
    <r>
      <t xml:space="preserve">Source: Twentieth Report, </t>
    </r>
    <r>
      <rPr>
        <i/>
        <sz val="11"/>
        <color theme="1"/>
        <rFont val="Calibri"/>
        <family val="2"/>
        <scheme val="minor"/>
      </rPr>
      <t>In the Matter of Implementation of Section 6002(b) of the Omnibus Budget Reconciliation Act of 1993, Annual Report and Analysis of Competitive Market Conditions With Respect to Mobile Wireless, Including Commercial Mobile Services</t>
    </r>
    <r>
      <rPr>
        <sz val="11"/>
        <color theme="1"/>
        <rFont val="Calibri"/>
        <family val="2"/>
        <scheme val="minor"/>
      </rPr>
      <t xml:space="preserve">, WT Docket No. 17-69, FCC, September 27, 2017, p. 15 at Table II.B.1, http://transition.fcc.gov/Daily_Releases/Daily_Business/2017/db0927/FCC-17-126A1.pdf, accessed August 23, 2018. </t>
    </r>
  </si>
  <si>
    <t>[6]: Purchased by T-Mobile on October 3, 2012 as reported in Mathew Niknam, Whitney Fletcher, Benjamin Soff, "Fully Baked: Upside appreciated, risks ricing; downgrage to HOLD," Deutsche Bank Markets Research, April 5, 2017, accessed August 23, 2018.</t>
  </si>
  <si>
    <t>[7]: Purchased by AT&amp;T on July 12, 2013 as reported in Mathew Niknam, Whitney Fletcher, Benjamin Soff, "Fully Baked: Upside appreciated, risks ricing; downgrage to HOLD," Deutsche Bank Markets Research, April 5, 2017, 8, accessed August 23,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</si>
</sst>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0.00_)"/>
    <numFmt numFmtId="167" formatCode="General_)"/>
    <numFmt numFmtId="168" formatCode="#,##0;#,##0"/>
    <numFmt numFmtId="169" formatCode="###0;###0"/>
    <numFmt numFmtId="170" formatCode="###0"/>
    <numFmt numFmtId="171" formatCode="0.0"/>
    <numFmt numFmtId="172" formatCode="###0.0;###0.0"/>
    <numFmt numFmtId="173" formatCode="_(&quot;$&quot;* #,##0_);_(&quot;$&quot;* \(#,##0\);_(&quot;$&quot;* &quot;-&quot;??_);_(@_)"/>
  </numFmts>
  <fonts count="31" x14ac:knownFonts="1">
    <font>
      <sz val="11"/>
      <color theme="1"/>
      <name val="Calibri"/>
      <family val="2"/>
      <scheme val="minor"/>
    </font>
    <font>
      <sz val="11"/>
      <color theme="1"/>
      <name val="Calibri"/>
      <family val="2"/>
      <scheme val="minor"/>
    </font>
    <font>
      <sz val="10"/>
      <name val="Times New Roman"/>
      <family val="1"/>
    </font>
    <font>
      <b/>
      <sz val="14"/>
      <color theme="8"/>
      <name val="Calibri"/>
      <family val="2"/>
      <scheme val="minor"/>
    </font>
    <font>
      <sz val="10"/>
      <name val="Arial"/>
      <family val="2"/>
    </font>
    <font>
      <sz val="9"/>
      <name val="Arial"/>
      <family val="2"/>
    </font>
    <font>
      <sz val="8"/>
      <name val="Arial"/>
      <family val="2"/>
    </font>
    <font>
      <sz val="7"/>
      <name val="Small Fonts"/>
      <family val="2"/>
    </font>
    <font>
      <b/>
      <i/>
      <sz val="16"/>
      <name val="Helv"/>
    </font>
    <font>
      <sz val="10"/>
      <name val="Helv"/>
    </font>
    <font>
      <b/>
      <sz val="10"/>
      <color indexed="9"/>
      <name val="Arial"/>
      <family val="2"/>
    </font>
    <font>
      <sz val="10"/>
      <color rgb="FFFF0000"/>
      <name val="Arial"/>
      <family val="2"/>
    </font>
    <font>
      <sz val="10"/>
      <color indexed="10"/>
      <name val="Arial"/>
      <family val="2"/>
    </font>
    <font>
      <sz val="10"/>
      <color indexed="8"/>
      <name val="MS Sans Serif"/>
      <family val="2"/>
    </font>
    <font>
      <b/>
      <sz val="18"/>
      <color theme="3"/>
      <name val="Calibri"/>
      <family val="2"/>
      <scheme val="major"/>
    </font>
    <font>
      <sz val="11"/>
      <color indexed="8"/>
      <name val="Calibri"/>
      <family val="2"/>
      <scheme val="minor"/>
    </font>
    <font>
      <sz val="6"/>
      <color indexed="8"/>
      <name val="Tahoma"/>
      <family val="1"/>
      <charset val="204"/>
    </font>
    <font>
      <u/>
      <sz val="10"/>
      <color indexed="12"/>
      <name val="Helv"/>
    </font>
    <font>
      <sz val="10"/>
      <color rgb="FF000000"/>
      <name val="Times New Roman"/>
      <family val="1"/>
    </font>
    <font>
      <i/>
      <sz val="11"/>
      <color theme="1"/>
      <name val="Calibri"/>
      <family val="2"/>
      <scheme val="minor"/>
    </font>
    <font>
      <b/>
      <sz val="11"/>
      <color indexed="8"/>
      <name val="Calibri"/>
      <family val="2"/>
      <scheme val="minor"/>
    </font>
    <font>
      <sz val="11"/>
      <name val="Calibri"/>
      <family val="2"/>
      <scheme val="minor"/>
    </font>
    <font>
      <b/>
      <sz val="11"/>
      <color theme="1"/>
      <name val="Calibri"/>
      <family val="2"/>
      <scheme val="minor"/>
    </font>
    <font>
      <i/>
      <sz val="11"/>
      <name val="Calibri"/>
      <family val="2"/>
      <scheme val="minor"/>
    </font>
    <font>
      <b/>
      <sz val="11"/>
      <color indexed="8"/>
      <name val="Times New Roman"/>
      <family val="1"/>
      <charset val="204"/>
    </font>
    <font>
      <sz val="11"/>
      <name val="Calibri"/>
      <family val="2"/>
      <scheme val="major"/>
    </font>
    <font>
      <sz val="10"/>
      <name val="Times New Roman"/>
      <family val="1"/>
      <charset val="204"/>
    </font>
    <font>
      <b/>
      <i/>
      <sz val="14"/>
      <color theme="8"/>
      <name val="Calibri"/>
      <family val="2"/>
      <scheme val="minor"/>
    </font>
    <font>
      <sz val="10"/>
      <name val="Calibri"/>
      <family val="2"/>
      <scheme val="minor"/>
    </font>
    <font>
      <vertAlign val="superscrip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9"/>
        <bgColor indexed="64"/>
      </patternFill>
    </fill>
    <fill>
      <patternFill patternType="solid">
        <fgColor indexed="22"/>
        <bgColor indexed="64"/>
      </patternFill>
    </fill>
    <fill>
      <patternFill patternType="solid">
        <fgColor indexed="26"/>
        <bgColor indexed="64"/>
      </patternFill>
    </fill>
    <fill>
      <patternFill patternType="solid">
        <fgColor indexed="21"/>
        <bgColor indexed="64"/>
      </patternFill>
    </fill>
    <fill>
      <patternFill patternType="solid">
        <fgColor rgb="FFC0C0C0"/>
        <bgColor indexed="64"/>
      </patternFill>
    </fill>
    <fill>
      <patternFill patternType="solid">
        <fgColor theme="0"/>
        <bgColor indexed="64"/>
      </patternFill>
    </fill>
    <fill>
      <patternFill patternType="solid">
        <fgColor theme="0" tint="-0.34998626667073579"/>
        <bgColor indexed="64"/>
      </patternFill>
    </fill>
  </fills>
  <borders count="11">
    <border>
      <left/>
      <right/>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rgb="FF969696"/>
      </top>
      <bottom/>
      <diagonal/>
    </border>
    <border>
      <left/>
      <right/>
      <top style="thin">
        <color indexed="55"/>
      </top>
      <bottom/>
      <diagonal/>
    </border>
    <border>
      <left/>
      <right/>
      <top style="thin">
        <color indexed="64"/>
      </top>
      <bottom style="thin">
        <color indexed="64"/>
      </bottom>
      <diagonal/>
    </border>
    <border>
      <left/>
      <right/>
      <top style="thin">
        <color rgb="FF000000"/>
      </top>
      <bottom/>
      <diagonal/>
    </border>
    <border>
      <left/>
      <right/>
      <top/>
      <bottom style="thin">
        <color rgb="FF333333"/>
      </bottom>
      <diagonal/>
    </border>
    <border>
      <left/>
      <right/>
      <top/>
      <bottom style="thin">
        <color indexed="63"/>
      </bottom>
      <diagonal/>
    </border>
  </borders>
  <cellStyleXfs count="72">
    <xf numFmtId="0" fontId="0" fillId="0" borderId="0"/>
    <xf numFmtId="43"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2" fontId="4" fillId="0" borderId="0" applyFont="0" applyFill="0" applyBorder="0" applyAlignment="0" applyProtection="0"/>
    <xf numFmtId="42"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5" fillId="0" borderId="0">
      <alignment wrapText="1"/>
    </xf>
    <xf numFmtId="38" fontId="6" fillId="3" borderId="0" applyNumberFormat="0" applyBorder="0" applyAlignment="0" applyProtection="0"/>
    <xf numFmtId="10" fontId="6" fillId="4" borderId="3" applyNumberFormat="0" applyBorder="0" applyAlignment="0" applyProtection="0"/>
    <xf numFmtId="37" fontId="7" fillId="0" borderId="0"/>
    <xf numFmtId="166" fontId="8" fillId="0" borderId="0"/>
    <xf numFmtId="0" fontId="4" fillId="0" borderId="0"/>
    <xf numFmtId="0" fontId="4" fillId="0" borderId="0"/>
    <xf numFmtId="0" fontId="1" fillId="0" borderId="0"/>
    <xf numFmtId="0" fontId="1" fillId="0" borderId="0"/>
    <xf numFmtId="0" fontId="1" fillId="0" borderId="0"/>
    <xf numFmtId="167" fontId="9" fillId="0" borderId="0"/>
    <xf numFmtId="0" fontId="4" fillId="0" borderId="0"/>
    <xf numFmtId="0" fontId="4" fillId="0" borderId="0"/>
    <xf numFmtId="0" fontId="4" fillId="0" borderId="0"/>
    <xf numFmtId="0" fontId="4" fillId="0" borderId="0"/>
    <xf numFmtId="0" fontId="4" fillId="0" borderId="0"/>
    <xf numFmtId="0" fontId="10" fillId="5" borderId="4"/>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 fillId="6" borderId="5" applyNumberFormat="0" applyFont="0" applyBorder="0" applyAlignment="0" applyProtection="0"/>
    <xf numFmtId="0" fontId="12" fillId="3" borderId="6" applyNumberFormat="0" applyFont="0" applyBorder="0" applyAlignment="0" applyProtection="0"/>
    <xf numFmtId="1" fontId="2" fillId="0" borderId="0" applyBorder="0">
      <alignment horizontal="left" vertical="top" wrapText="1"/>
    </xf>
    <xf numFmtId="0" fontId="1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43" fontId="4" fillId="0" borderId="0" applyFont="0" applyFill="0" applyBorder="0" applyAlignment="0" applyProtection="0"/>
    <xf numFmtId="0" fontId="17" fillId="0" borderId="0" applyNumberFormat="0" applyFill="0" applyBorder="0" applyAlignment="0" applyProtection="0">
      <alignment vertical="top"/>
      <protection locked="0"/>
    </xf>
    <xf numFmtId="0" fontId="4" fillId="0" borderId="0"/>
    <xf numFmtId="0" fontId="4" fillId="0" borderId="0"/>
    <xf numFmtId="0" fontId="4" fillId="0" borderId="0"/>
    <xf numFmtId="0" fontId="18" fillId="0" borderId="0"/>
    <xf numFmtId="0" fontId="5" fillId="0" borderId="0" applyNumberFormat="0">
      <alignment vertical="center"/>
    </xf>
    <xf numFmtId="0" fontId="5" fillId="0" borderId="0" applyNumberFormat="0">
      <alignment vertical="center"/>
    </xf>
    <xf numFmtId="0" fontId="1" fillId="0" borderId="0"/>
    <xf numFmtId="0" fontId="11" fillId="0" borderId="9" applyNumberFormat="0" applyFont="0" applyFill="0" applyProtection="0"/>
    <xf numFmtId="0" fontId="12" fillId="0" borderId="10" applyNumberFormat="0" applyFont="0" applyFill="0" applyProtection="0"/>
    <xf numFmtId="0" fontId="14" fillId="0" borderId="0" applyNumberFormat="0" applyFill="0" applyBorder="0" applyAlignment="0" applyProtection="0"/>
    <xf numFmtId="44" fontId="1" fillId="0" borderId="0" applyFont="0" applyFill="0" applyBorder="0" applyAlignment="0" applyProtection="0"/>
  </cellStyleXfs>
  <cellXfs count="152">
    <xf numFmtId="0" fontId="0" fillId="0" borderId="0" xfId="0"/>
    <xf numFmtId="0" fontId="3" fillId="0" borderId="0" xfId="0" applyFont="1" applyBorder="1" applyAlignment="1">
      <alignment horizontal="centerContinuous"/>
    </xf>
    <xf numFmtId="0" fontId="0" fillId="0" borderId="0" xfId="0" applyBorder="1" applyAlignment="1">
      <alignment horizontal="centerContinuous"/>
    </xf>
    <xf numFmtId="0" fontId="3" fillId="0" borderId="1" xfId="0" applyFont="1" applyBorder="1" applyAlignment="1">
      <alignment horizontal="centerContinuous"/>
    </xf>
    <xf numFmtId="0" fontId="0" fillId="0" borderId="1" xfId="0" applyBorder="1"/>
    <xf numFmtId="0" fontId="3" fillId="0" borderId="0" xfId="0" applyFont="1"/>
    <xf numFmtId="0" fontId="0" fillId="0" borderId="0" xfId="0" applyBorder="1" applyAlignment="1">
      <alignment horizontal="right" wrapText="1"/>
    </xf>
    <xf numFmtId="0" fontId="0" fillId="0" borderId="0" xfId="0" applyAlignment="1">
      <alignment wrapText="1"/>
    </xf>
    <xf numFmtId="0" fontId="0" fillId="0" borderId="2" xfId="0" applyBorder="1"/>
    <xf numFmtId="0" fontId="0" fillId="0" borderId="2" xfId="0" applyBorder="1" applyAlignment="1">
      <alignment horizontal="right"/>
    </xf>
    <xf numFmtId="0" fontId="0" fillId="0" borderId="0" xfId="0" applyBorder="1"/>
    <xf numFmtId="0" fontId="0" fillId="0" borderId="0" xfId="0" applyBorder="1" applyAlignment="1">
      <alignment horizontal="right"/>
    </xf>
    <xf numFmtId="164" fontId="0" fillId="0" borderId="0" xfId="1" applyNumberFormat="1" applyFont="1" applyAlignment="1">
      <alignment horizontal="right"/>
    </xf>
    <xf numFmtId="165" fontId="0" fillId="0" borderId="0" xfId="2" applyNumberFormat="1" applyFont="1" applyAlignment="1">
      <alignment horizontal="right"/>
    </xf>
    <xf numFmtId="0" fontId="0" fillId="2" borderId="0" xfId="0" applyFill="1" applyAlignment="1"/>
    <xf numFmtId="0" fontId="3" fillId="0" borderId="0" xfId="0" applyFont="1" applyAlignment="1">
      <alignment horizontal="centerContinuous"/>
    </xf>
    <xf numFmtId="0" fontId="0" fillId="0" borderId="0" xfId="0" applyAlignment="1">
      <alignment horizontal="centerContinuous"/>
    </xf>
    <xf numFmtId="0" fontId="0" fillId="0" borderId="0" xfId="0" applyAlignment="1"/>
    <xf numFmtId="0" fontId="0" fillId="2" borderId="0" xfId="0" applyFill="1"/>
    <xf numFmtId="0" fontId="3" fillId="0" borderId="1" xfId="0" applyFont="1" applyBorder="1" applyAlignment="1">
      <alignment horizontal="left"/>
    </xf>
    <xf numFmtId="0" fontId="0" fillId="0" borderId="1" xfId="0" applyBorder="1" applyAlignment="1">
      <alignment horizontal="centerContinuous" wrapText="1"/>
    </xf>
    <xf numFmtId="0" fontId="0" fillId="0" borderId="0" xfId="0" applyAlignment="1">
      <alignment horizontal="centerContinuous" wrapText="1"/>
    </xf>
    <xf numFmtId="0" fontId="3" fillId="0" borderId="0" xfId="0" applyFont="1" applyAlignment="1">
      <alignment horizontal="left"/>
    </xf>
    <xf numFmtId="0" fontId="0" fillId="0" borderId="0" xfId="0" applyAlignment="1">
      <alignment horizontal="right"/>
    </xf>
    <xf numFmtId="3" fontId="0" fillId="0" borderId="0" xfId="0" applyNumberFormat="1"/>
    <xf numFmtId="3" fontId="0" fillId="0" borderId="1" xfId="0" applyNumberFormat="1" applyBorder="1" applyAlignment="1">
      <alignment horizontal="centerContinuous"/>
    </xf>
    <xf numFmtId="0" fontId="0" fillId="0" borderId="0" xfId="0" applyAlignment="1">
      <alignment horizontal="left"/>
    </xf>
    <xf numFmtId="10" fontId="0" fillId="0" borderId="0" xfId="2" applyNumberFormat="1" applyFont="1"/>
    <xf numFmtId="0" fontId="0" fillId="0" borderId="1" xfId="0" applyBorder="1" applyAlignment="1">
      <alignment horizontal="centerContinuous"/>
    </xf>
    <xf numFmtId="164" fontId="0" fillId="0" borderId="0" xfId="1" applyNumberFormat="1" applyFont="1"/>
    <xf numFmtId="0" fontId="0" fillId="7" borderId="0" xfId="0" applyFill="1"/>
    <xf numFmtId="0" fontId="0" fillId="0" borderId="7" xfId="0" applyBorder="1"/>
    <xf numFmtId="0" fontId="0" fillId="0" borderId="7" xfId="0" applyBorder="1" applyAlignment="1">
      <alignment horizontal="right"/>
    </xf>
    <xf numFmtId="0" fontId="0" fillId="0" borderId="0" xfId="0" applyFill="1" applyAlignment="1">
      <alignment wrapText="1"/>
    </xf>
    <xf numFmtId="0" fontId="0" fillId="0" borderId="0" xfId="0" applyFill="1"/>
    <xf numFmtId="0" fontId="0" fillId="0" borderId="1" xfId="0" applyFill="1" applyBorder="1"/>
    <xf numFmtId="0" fontId="0" fillId="0" borderId="0" xfId="0" applyFill="1" applyBorder="1"/>
    <xf numFmtId="0" fontId="0" fillId="0" borderId="2" xfId="0" applyFill="1" applyBorder="1" applyAlignment="1">
      <alignment horizontal="right" wrapText="1"/>
    </xf>
    <xf numFmtId="0" fontId="0" fillId="0" borderId="2" xfId="0" applyBorder="1" applyAlignment="1">
      <alignment horizontal="right" wrapText="1"/>
    </xf>
    <xf numFmtId="10" fontId="0" fillId="0" borderId="0" xfId="0" applyNumberFormat="1" applyFill="1"/>
    <xf numFmtId="2" fontId="0" fillId="0" borderId="0" xfId="0" applyNumberFormat="1" applyFill="1"/>
    <xf numFmtId="0" fontId="0" fillId="0" borderId="0" xfId="0" applyFill="1" applyAlignment="1"/>
    <xf numFmtId="164" fontId="0" fillId="0" borderId="1" xfId="1" applyNumberFormat="1" applyFont="1" applyBorder="1"/>
    <xf numFmtId="165" fontId="0" fillId="0" borderId="0" xfId="2" applyNumberFormat="1" applyFont="1"/>
    <xf numFmtId="0" fontId="0" fillId="0" borderId="2" xfId="0" applyBorder="1" applyAlignment="1">
      <alignment wrapText="1"/>
    </xf>
    <xf numFmtId="0" fontId="16" fillId="0" borderId="0" xfId="0" applyFont="1" applyFill="1" applyBorder="1" applyAlignment="1">
      <alignment horizontal="left" vertical="top" wrapText="1"/>
    </xf>
    <xf numFmtId="169" fontId="0" fillId="0" borderId="0" xfId="0" applyNumberFormat="1"/>
    <xf numFmtId="10" fontId="0" fillId="0" borderId="0" xfId="2" applyNumberFormat="1" applyFont="1" applyAlignment="1">
      <alignment horizontal="right"/>
    </xf>
    <xf numFmtId="0" fontId="3" fillId="0" borderId="0" xfId="0" applyFont="1" applyFill="1" applyAlignment="1"/>
    <xf numFmtId="171" fontId="0" fillId="0" borderId="0" xfId="2" applyNumberFormat="1" applyFont="1"/>
    <xf numFmtId="0" fontId="0" fillId="0" borderId="0" xfId="0" applyFont="1" applyFill="1"/>
    <xf numFmtId="0" fontId="21" fillId="0" borderId="0" xfId="0" applyFont="1" applyFill="1" applyAlignment="1">
      <alignment vertical="top" wrapText="1"/>
    </xf>
    <xf numFmtId="0" fontId="21" fillId="0" borderId="8" xfId="0" applyFont="1" applyFill="1" applyBorder="1" applyAlignment="1">
      <alignment horizontal="left" vertical="top" wrapText="1"/>
    </xf>
    <xf numFmtId="0" fontId="20" fillId="0" borderId="0" xfId="0" applyFont="1" applyFill="1" applyAlignment="1">
      <alignment horizontal="left" vertical="top" wrapText="1"/>
    </xf>
    <xf numFmtId="0" fontId="21" fillId="0" borderId="0" xfId="0" applyFont="1" applyFill="1" applyAlignment="1">
      <alignment horizontal="left" vertical="top" wrapText="1"/>
    </xf>
    <xf numFmtId="0" fontId="15" fillId="0" borderId="0" xfId="0" applyFont="1" applyFill="1" applyAlignment="1">
      <alignment horizontal="left" vertical="top" wrapText="1"/>
    </xf>
    <xf numFmtId="10" fontId="21" fillId="0" borderId="0" xfId="0" applyNumberFormat="1" applyFont="1" applyFill="1" applyAlignment="1">
      <alignment vertical="top" wrapText="1"/>
    </xf>
    <xf numFmtId="0" fontId="20" fillId="0" borderId="1" xfId="0" applyFont="1" applyFill="1" applyBorder="1" applyAlignment="1">
      <alignment horizontal="left" vertical="top" wrapText="1"/>
    </xf>
    <xf numFmtId="0" fontId="3" fillId="0" borderId="0" xfId="0" applyFont="1" applyFill="1" applyAlignment="1">
      <alignment horizontal="centerContinuous" vertical="top"/>
    </xf>
    <xf numFmtId="0" fontId="15" fillId="0" borderId="0" xfId="0" applyFont="1" applyFill="1" applyBorder="1" applyAlignment="1">
      <alignment horizontal="left" vertical="top" wrapText="1"/>
    </xf>
    <xf numFmtId="0" fontId="15" fillId="0" borderId="1" xfId="0" applyFont="1" applyFill="1" applyBorder="1" applyAlignment="1">
      <alignment horizontal="left" vertical="top" wrapText="1"/>
    </xf>
    <xf numFmtId="10" fontId="15" fillId="0" borderId="1" xfId="0" applyNumberFormat="1" applyFont="1" applyFill="1" applyBorder="1" applyAlignment="1">
      <alignment horizontal="left" vertical="top" wrapText="1"/>
    </xf>
    <xf numFmtId="3" fontId="0" fillId="0" borderId="0" xfId="0" applyNumberFormat="1" applyFill="1" applyAlignment="1">
      <alignment horizontal="right"/>
    </xf>
    <xf numFmtId="3" fontId="0" fillId="0" borderId="0" xfId="0" applyNumberFormat="1" applyFill="1"/>
    <xf numFmtId="3" fontId="0" fillId="0" borderId="0" xfId="0" applyNumberFormat="1" applyFill="1" applyAlignment="1"/>
    <xf numFmtId="0" fontId="0" fillId="0" borderId="0" xfId="0" applyFill="1" applyAlignment="1">
      <alignment horizontal="left"/>
    </xf>
    <xf numFmtId="0" fontId="0" fillId="0" borderId="0" xfId="0" applyFont="1" applyFill="1" applyAlignment="1"/>
    <xf numFmtId="0" fontId="3" fillId="0" borderId="0" xfId="0" applyFont="1" applyFill="1" applyAlignment="1">
      <alignment horizontal="centerContinuous" wrapText="1"/>
    </xf>
    <xf numFmtId="0" fontId="3" fillId="0" borderId="0" xfId="0" applyFont="1" applyFill="1" applyAlignment="1">
      <alignment horizontal="centerContinuous"/>
    </xf>
    <xf numFmtId="0" fontId="0" fillId="0" borderId="2" xfId="0" applyFill="1" applyBorder="1"/>
    <xf numFmtId="0" fontId="0" fillId="0" borderId="2" xfId="0" applyFill="1" applyBorder="1" applyAlignment="1">
      <alignment horizontal="centerContinuous"/>
    </xf>
    <xf numFmtId="0" fontId="0" fillId="0" borderId="0" xfId="0" applyFill="1" applyBorder="1" applyAlignment="1">
      <alignment horizontal="centerContinuous"/>
    </xf>
    <xf numFmtId="0" fontId="0" fillId="0" borderId="2" xfId="0" applyFill="1" applyBorder="1" applyAlignment="1">
      <alignment wrapText="1"/>
    </xf>
    <xf numFmtId="164" fontId="0" fillId="0" borderId="0" xfId="0" applyNumberFormat="1"/>
    <xf numFmtId="0" fontId="22" fillId="0" borderId="0" xfId="0" applyFont="1" applyFill="1" applyAlignment="1">
      <alignment horizontal="centerContinuous"/>
    </xf>
    <xf numFmtId="0" fontId="0" fillId="0" borderId="0" xfId="0" applyFill="1" applyAlignment="1">
      <alignment horizontal="centerContinuous"/>
    </xf>
    <xf numFmtId="0" fontId="19" fillId="0" borderId="0" xfId="0" applyFont="1" applyFill="1"/>
    <xf numFmtId="0" fontId="0" fillId="0" borderId="2" xfId="0" applyBorder="1" applyAlignment="1">
      <alignment horizontal="left"/>
    </xf>
    <xf numFmtId="0" fontId="24" fillId="8" borderId="0" xfId="0" applyFont="1" applyFill="1" applyAlignment="1">
      <alignment horizontal="left" vertical="top"/>
    </xf>
    <xf numFmtId="0" fontId="25" fillId="8" borderId="0" xfId="0" applyFont="1" applyFill="1" applyAlignment="1">
      <alignment vertical="top" wrapText="1"/>
    </xf>
    <xf numFmtId="0" fontId="26" fillId="8" borderId="0" xfId="0" applyFont="1" applyFill="1" applyAlignment="1">
      <alignment vertical="top" wrapText="1"/>
    </xf>
    <xf numFmtId="0" fontId="0" fillId="8" borderId="0" xfId="0" applyFill="1"/>
    <xf numFmtId="0" fontId="3" fillId="0" borderId="0" xfId="0" applyFont="1" applyAlignment="1">
      <alignment horizontal="centerContinuous" vertical="top" wrapText="1"/>
    </xf>
    <xf numFmtId="0" fontId="27" fillId="0" borderId="0" xfId="0" applyFont="1" applyAlignment="1">
      <alignment horizontal="centerContinuous" vertical="top" wrapText="1"/>
    </xf>
    <xf numFmtId="0" fontId="27" fillId="0" borderId="0" xfId="0" applyFont="1" applyAlignment="1">
      <alignment vertical="top" wrapText="1"/>
    </xf>
    <xf numFmtId="0" fontId="27" fillId="0" borderId="1" xfId="0" applyFont="1" applyBorder="1" applyAlignment="1">
      <alignment horizontal="centerContinuous" vertical="top" wrapText="1"/>
    </xf>
    <xf numFmtId="0" fontId="26" fillId="0" borderId="1" xfId="0" applyFont="1" applyBorder="1" applyAlignment="1">
      <alignment horizontal="centerContinuous" vertical="top" wrapText="1"/>
    </xf>
    <xf numFmtId="0" fontId="26" fillId="0" borderId="0" xfId="0" applyFont="1" applyBorder="1" applyAlignment="1">
      <alignment horizontal="centerContinuous" vertical="top" wrapText="1"/>
    </xf>
    <xf numFmtId="0" fontId="26" fillId="0" borderId="0" xfId="0" applyFont="1" applyAlignment="1">
      <alignment horizontal="centerContinuous" vertical="top" wrapText="1"/>
    </xf>
    <xf numFmtId="0" fontId="26" fillId="0" borderId="0" xfId="0" applyFont="1" applyBorder="1" applyAlignment="1">
      <alignment vertical="top" wrapText="1"/>
    </xf>
    <xf numFmtId="0" fontId="0" fillId="0" borderId="0" xfId="0" applyBorder="1" applyAlignment="1"/>
    <xf numFmtId="0" fontId="21" fillId="0" borderId="0" xfId="0" applyFont="1" applyFill="1" applyBorder="1" applyAlignment="1">
      <alignment horizontal="left" wrapText="1"/>
    </xf>
    <xf numFmtId="0" fontId="26" fillId="0" borderId="0" xfId="0" applyFont="1" applyAlignment="1">
      <alignment vertical="top" wrapText="1"/>
    </xf>
    <xf numFmtId="3" fontId="21" fillId="0" borderId="0" xfId="0" applyNumberFormat="1" applyFont="1" applyFill="1" applyBorder="1" applyAlignment="1">
      <alignment horizontal="right" wrapText="1"/>
    </xf>
    <xf numFmtId="0" fontId="21" fillId="0" borderId="0" xfId="0" applyFont="1" applyFill="1" applyBorder="1" applyAlignment="1">
      <alignment horizontal="right" vertical="top" wrapText="1"/>
    </xf>
    <xf numFmtId="0" fontId="21" fillId="0" borderId="0" xfId="0" applyFont="1" applyFill="1" applyAlignment="1">
      <alignment horizontal="left" wrapText="1"/>
    </xf>
    <xf numFmtId="3" fontId="21" fillId="0" borderId="0" xfId="0" applyNumberFormat="1" applyFont="1" applyFill="1" applyAlignment="1">
      <alignment horizontal="right" wrapText="1"/>
    </xf>
    <xf numFmtId="172" fontId="21" fillId="0" borderId="0" xfId="0" applyNumberFormat="1" applyFont="1" applyFill="1" applyAlignment="1">
      <alignment horizontal="right" vertical="top" wrapText="1"/>
    </xf>
    <xf numFmtId="0" fontId="21" fillId="0" borderId="2" xfId="0" applyFont="1" applyFill="1" applyBorder="1" applyAlignment="1">
      <alignment horizontal="left" wrapText="1"/>
    </xf>
    <xf numFmtId="168" fontId="21" fillId="0" borderId="2" xfId="0" applyNumberFormat="1" applyFont="1" applyFill="1" applyBorder="1" applyAlignment="1">
      <alignment horizontal="right" wrapText="1"/>
    </xf>
    <xf numFmtId="168" fontId="21" fillId="0" borderId="0" xfId="0" applyNumberFormat="1" applyFont="1" applyFill="1" applyAlignment="1">
      <alignment horizontal="right" wrapText="1"/>
    </xf>
    <xf numFmtId="0" fontId="28" fillId="0" borderId="0" xfId="0" applyFont="1" applyFill="1" applyAlignment="1">
      <alignment horizontal="right" vertical="top" wrapText="1"/>
    </xf>
    <xf numFmtId="0" fontId="21" fillId="0" borderId="0" xfId="0" applyFont="1" applyFill="1" applyBorder="1" applyAlignment="1">
      <alignment horizontal="right" wrapText="1"/>
    </xf>
    <xf numFmtId="0" fontId="21" fillId="0" borderId="0" xfId="0" applyFont="1" applyFill="1" applyAlignment="1">
      <alignment horizontal="right" wrapText="1"/>
    </xf>
    <xf numFmtId="0" fontId="21" fillId="0" borderId="0" xfId="0" applyFont="1" applyFill="1" applyAlignment="1">
      <alignment horizontal="right" vertical="top" wrapText="1"/>
    </xf>
    <xf numFmtId="0" fontId="21" fillId="0" borderId="1" xfId="0" applyFont="1" applyFill="1" applyBorder="1" applyAlignment="1">
      <alignment horizontal="left" vertical="top" wrapText="1"/>
    </xf>
    <xf numFmtId="168" fontId="21" fillId="0" borderId="1" xfId="0" applyNumberFormat="1" applyFont="1" applyFill="1" applyBorder="1" applyAlignment="1">
      <alignment horizontal="right" vertical="top" wrapText="1"/>
    </xf>
    <xf numFmtId="0" fontId="21" fillId="0" borderId="1" xfId="0" applyFont="1" applyFill="1" applyBorder="1" applyAlignment="1">
      <alignment horizontal="right" vertical="top" wrapText="1"/>
    </xf>
    <xf numFmtId="168" fontId="21" fillId="0" borderId="0" xfId="0" applyNumberFormat="1" applyFont="1" applyFill="1" applyAlignment="1">
      <alignment horizontal="right" vertical="top" wrapText="1"/>
    </xf>
    <xf numFmtId="0" fontId="21" fillId="0" borderId="0" xfId="0" applyFont="1" applyFill="1" applyBorder="1" applyAlignment="1">
      <alignment horizontal="left" vertical="top" wrapText="1"/>
    </xf>
    <xf numFmtId="168" fontId="21" fillId="0" borderId="0" xfId="0" applyNumberFormat="1" applyFont="1" applyFill="1" applyBorder="1" applyAlignment="1">
      <alignment horizontal="left" vertical="top" wrapText="1"/>
    </xf>
    <xf numFmtId="0" fontId="28" fillId="0" borderId="0" xfId="0" applyFont="1" applyFill="1" applyBorder="1" applyAlignment="1">
      <alignment horizontal="left" vertical="top" wrapText="1"/>
    </xf>
    <xf numFmtId="0" fontId="26" fillId="0" borderId="1" xfId="0" applyFont="1" applyBorder="1" applyAlignment="1">
      <alignment vertical="top" wrapText="1"/>
    </xf>
    <xf numFmtId="0" fontId="24" fillId="0" borderId="0" xfId="0" applyFont="1" applyAlignment="1">
      <alignment horizontal="center" vertical="top"/>
    </xf>
    <xf numFmtId="172" fontId="21" fillId="0" borderId="0" xfId="0" applyNumberFormat="1" applyFont="1" applyFill="1" applyAlignment="1">
      <alignment horizontal="right" wrapText="1"/>
    </xf>
    <xf numFmtId="0" fontId="28" fillId="0" borderId="0" xfId="0" applyFont="1" applyFill="1" applyAlignment="1">
      <alignment horizontal="right" wrapText="1"/>
    </xf>
    <xf numFmtId="169" fontId="21" fillId="0" borderId="0" xfId="0" applyNumberFormat="1" applyFont="1" applyFill="1" applyAlignment="1">
      <alignment horizontal="right" wrapText="1"/>
    </xf>
    <xf numFmtId="168" fontId="21" fillId="0" borderId="1" xfId="0" applyNumberFormat="1" applyFont="1" applyFill="1" applyBorder="1" applyAlignment="1">
      <alignment horizontal="left" vertical="top" wrapText="1"/>
    </xf>
    <xf numFmtId="0" fontId="28" fillId="0" borderId="1" xfId="0" applyFont="1" applyFill="1" applyBorder="1" applyAlignment="1">
      <alignment horizontal="left" vertical="top" wrapText="1"/>
    </xf>
    <xf numFmtId="168" fontId="21" fillId="0" borderId="0" xfId="0" applyNumberFormat="1" applyFont="1" applyFill="1" applyAlignment="1">
      <alignment horizontal="left" vertical="top" wrapText="1"/>
    </xf>
    <xf numFmtId="0" fontId="28" fillId="0" borderId="0" xfId="0" applyFont="1" applyFill="1" applyAlignment="1">
      <alignment horizontal="left" vertical="top" wrapText="1"/>
    </xf>
    <xf numFmtId="173" fontId="0" fillId="0" borderId="0" xfId="71" applyNumberFormat="1" applyFont="1" applyAlignment="1">
      <alignment horizontal="right"/>
    </xf>
    <xf numFmtId="164" fontId="0" fillId="0" borderId="0" xfId="1" applyNumberFormat="1" applyFont="1" applyFill="1"/>
    <xf numFmtId="0" fontId="21" fillId="0" borderId="0" xfId="0" applyFont="1" applyFill="1" applyAlignment="1">
      <alignment horizontal="left" vertical="top" wrapText="1"/>
    </xf>
    <xf numFmtId="43" fontId="0" fillId="2" borderId="0" xfId="1" applyFont="1" applyFill="1"/>
    <xf numFmtId="0" fontId="0" fillId="2" borderId="0" xfId="0" applyFill="1" applyBorder="1" applyAlignment="1">
      <alignment horizontal="right" wrapText="1"/>
    </xf>
    <xf numFmtId="0" fontId="20" fillId="0" borderId="8" xfId="0" applyFont="1" applyFill="1" applyBorder="1" applyAlignment="1">
      <alignment horizontal="right" vertical="top" wrapText="1"/>
    </xf>
    <xf numFmtId="10" fontId="15" fillId="0" borderId="0" xfId="0" applyNumberFormat="1" applyFont="1" applyFill="1" applyAlignment="1">
      <alignment horizontal="right" vertical="top" wrapText="1"/>
    </xf>
    <xf numFmtId="10" fontId="20" fillId="0" borderId="0" xfId="0" applyNumberFormat="1" applyFont="1" applyFill="1" applyAlignment="1">
      <alignment horizontal="right" vertical="top" wrapText="1"/>
    </xf>
    <xf numFmtId="168" fontId="15" fillId="0" borderId="0" xfId="0" applyNumberFormat="1" applyFont="1" applyFill="1" applyAlignment="1">
      <alignment horizontal="right" vertical="top" wrapText="1"/>
    </xf>
    <xf numFmtId="169" fontId="15" fillId="0" borderId="0" xfId="0" applyNumberFormat="1" applyFont="1" applyFill="1" applyAlignment="1">
      <alignment horizontal="right" vertical="top" wrapText="1"/>
    </xf>
    <xf numFmtId="168" fontId="20" fillId="0" borderId="0" xfId="0" applyNumberFormat="1" applyFont="1" applyFill="1" applyAlignment="1">
      <alignment horizontal="right" vertical="top" wrapText="1"/>
    </xf>
    <xf numFmtId="0" fontId="20" fillId="0" borderId="0" xfId="0" applyFont="1" applyFill="1" applyAlignment="1">
      <alignment horizontal="right" vertical="top" wrapText="1"/>
    </xf>
    <xf numFmtId="170" fontId="15" fillId="0" borderId="0" xfId="0" applyNumberFormat="1" applyFont="1" applyFill="1" applyAlignment="1">
      <alignment horizontal="right" vertical="top" wrapText="1"/>
    </xf>
    <xf numFmtId="3" fontId="15" fillId="0" borderId="0" xfId="0" applyNumberFormat="1" applyFont="1" applyFill="1" applyAlignment="1">
      <alignment horizontal="right" vertical="top" wrapText="1"/>
    </xf>
    <xf numFmtId="169" fontId="20" fillId="0" borderId="0" xfId="0" applyNumberFormat="1" applyFont="1" applyFill="1" applyAlignment="1">
      <alignment horizontal="right" vertical="top" wrapText="1"/>
    </xf>
    <xf numFmtId="10" fontId="15" fillId="0" borderId="0" xfId="0" applyNumberFormat="1" applyFont="1" applyFill="1" applyBorder="1" applyAlignment="1">
      <alignment horizontal="right" vertical="top" wrapText="1"/>
    </xf>
    <xf numFmtId="3" fontId="21" fillId="0" borderId="0" xfId="0" applyNumberFormat="1" applyFont="1" applyAlignment="1">
      <alignment horizontal="right" wrapText="1"/>
    </xf>
    <xf numFmtId="0" fontId="22" fillId="0" borderId="2" xfId="0" applyFont="1" applyBorder="1" applyAlignment="1"/>
    <xf numFmtId="0" fontId="22" fillId="0" borderId="2" xfId="0" applyFont="1" applyBorder="1" applyAlignment="1">
      <alignment horizontal="right"/>
    </xf>
    <xf numFmtId="0" fontId="30" fillId="0" borderId="2" xfId="0" applyFont="1" applyFill="1" applyBorder="1" applyAlignment="1">
      <alignment horizontal="left" wrapText="1"/>
    </xf>
    <xf numFmtId="168" fontId="30" fillId="0" borderId="2" xfId="0" applyNumberFormat="1" applyFont="1" applyFill="1" applyBorder="1" applyAlignment="1">
      <alignment horizontal="right" wrapText="1"/>
    </xf>
    <xf numFmtId="0" fontId="21" fillId="0" borderId="2" xfId="0" applyFont="1" applyFill="1" applyBorder="1" applyAlignment="1">
      <alignment horizontal="left" vertical="top" wrapText="1"/>
    </xf>
    <xf numFmtId="172" fontId="21" fillId="0" borderId="2" xfId="0" applyNumberFormat="1" applyFont="1" applyFill="1" applyBorder="1" applyAlignment="1">
      <alignment horizontal="right" wrapText="1"/>
    </xf>
    <xf numFmtId="0" fontId="30" fillId="0" borderId="2" xfId="0" applyFont="1" applyFill="1" applyBorder="1" applyAlignment="1">
      <alignment horizontal="right" wrapText="1"/>
    </xf>
    <xf numFmtId="0" fontId="0" fillId="0" borderId="0" xfId="0" applyFont="1" applyAlignment="1">
      <alignment horizontal="left" vertical="center" wrapText="1"/>
    </xf>
    <xf numFmtId="0" fontId="0" fillId="0" borderId="0" xfId="0" applyAlignment="1">
      <alignment horizontal="left" wrapText="1"/>
    </xf>
    <xf numFmtId="0" fontId="0" fillId="0" borderId="0" xfId="0" applyFill="1" applyAlignment="1">
      <alignment horizontal="left" wrapText="1"/>
    </xf>
    <xf numFmtId="3" fontId="0" fillId="0" borderId="0" xfId="0" applyNumberFormat="1" applyFill="1" applyAlignment="1">
      <alignment horizontal="left" wrapText="1"/>
    </xf>
    <xf numFmtId="0" fontId="0" fillId="0" borderId="0" xfId="0" applyFont="1" applyFill="1" applyAlignment="1">
      <alignment horizontal="left" wrapText="1"/>
    </xf>
    <xf numFmtId="0" fontId="0" fillId="0" borderId="0" xfId="0" applyAlignment="1"/>
    <xf numFmtId="0" fontId="21" fillId="0" borderId="0" xfId="0" applyFont="1" applyFill="1" applyAlignment="1">
      <alignment horizontal="left" vertical="top" wrapText="1"/>
    </xf>
  </cellXfs>
  <cellStyles count="72">
    <cellStyle name="Comma" xfId="1" builtinId="3"/>
    <cellStyle name="Comma [0] 2" xfId="7"/>
    <cellStyle name="Comma [0] 2 2" xfId="8"/>
    <cellStyle name="Comma 10" xfId="59"/>
    <cellStyle name="Comma 2" xfId="3"/>
    <cellStyle name="Comma 2 2" xfId="9"/>
    <cellStyle name="Comma 2 2 2" xfId="10"/>
    <cellStyle name="Comma 2 3" xfId="11"/>
    <cellStyle name="Comma 3" xfId="12"/>
    <cellStyle name="Comma 4" xfId="13"/>
    <cellStyle name="Comma 5" xfId="14"/>
    <cellStyle name="Comma 6" xfId="15"/>
    <cellStyle name="Currency" xfId="71" builtinId="4"/>
    <cellStyle name="Currency [0] 2" xfId="16"/>
    <cellStyle name="Currency [0] 2 2" xfId="17"/>
    <cellStyle name="Currency 2" xfId="18"/>
    <cellStyle name="Currency 2 2" xfId="19"/>
    <cellStyle name="Currency 3" xfId="20"/>
    <cellStyle name="Currency 4" xfId="21"/>
    <cellStyle name="Currency 5" xfId="22"/>
    <cellStyle name="Currency 6" xfId="23"/>
    <cellStyle name="Double Line 25.5" xfId="24"/>
    <cellStyle name="Grey" xfId="25"/>
    <cellStyle name="Hyperlink 2" xfId="60"/>
    <cellStyle name="Input [yellow]" xfId="26"/>
    <cellStyle name="no dec" xfId="27"/>
    <cellStyle name="Normal" xfId="0" builtinId="0"/>
    <cellStyle name="Normal - Style1" xfId="28"/>
    <cellStyle name="Normal 11 3" xfId="61"/>
    <cellStyle name="Normal 18" xfId="62"/>
    <cellStyle name="Normal 19" xfId="63"/>
    <cellStyle name="Normal 2" xfId="4"/>
    <cellStyle name="Normal 2 2" xfId="29"/>
    <cellStyle name="Normal 2 2 2" xfId="30"/>
    <cellStyle name="Normal 2 3" xfId="64"/>
    <cellStyle name="Normal 2 3 2" xfId="65"/>
    <cellStyle name="Normal 20" xfId="66"/>
    <cellStyle name="Normal 26" xfId="31"/>
    <cellStyle name="Normal 3" xfId="32"/>
    <cellStyle name="Normal 3 2" xfId="33"/>
    <cellStyle name="Normal 3 3" xfId="67"/>
    <cellStyle name="Normal 4" xfId="34"/>
    <cellStyle name="Normal 5" xfId="35"/>
    <cellStyle name="Normal 6" xfId="36"/>
    <cellStyle name="Normal 7" xfId="37"/>
    <cellStyle name="Normal 8" xfId="38"/>
    <cellStyle name="Normal 9" xfId="39"/>
    <cellStyle name="Output Line Items" xfId="40"/>
    <cellStyle name="Percent" xfId="2" builtinId="5"/>
    <cellStyle name="Percent [2]" xfId="41"/>
    <cellStyle name="Percent 2" xfId="5"/>
    <cellStyle name="Percent 2 2" xfId="42"/>
    <cellStyle name="Percent 2 2 2" xfId="43"/>
    <cellStyle name="Percent 2 3" xfId="44"/>
    <cellStyle name="Percent 3" xfId="6"/>
    <cellStyle name="Percent 3 2" xfId="45"/>
    <cellStyle name="Percent 4" xfId="46"/>
    <cellStyle name="Percent 5" xfId="47"/>
    <cellStyle name="Percent 6" xfId="48"/>
    <cellStyle name="Percent 7" xfId="49"/>
    <cellStyle name="Rule (bottom) 3" xfId="68"/>
    <cellStyle name="Rule (bottom) 3 2" xfId="69"/>
    <cellStyle name="Shaded" xfId="50"/>
    <cellStyle name="Shaded 2 2" xfId="51"/>
    <cellStyle name="SPOl" xfId="52"/>
    <cellStyle name="Style 1" xfId="53"/>
    <cellStyle name="Style 2" xfId="54"/>
    <cellStyle name="Style 3" xfId="55"/>
    <cellStyle name="Style 4" xfId="56"/>
    <cellStyle name="Style 5" xfId="57"/>
    <cellStyle name="Style 6" xfId="58"/>
    <cellStyle name="Title 7"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Brattle">
  <a:themeElements>
    <a:clrScheme name="Brattle 2015">
      <a:dk1>
        <a:srgbClr val="000000"/>
      </a:dk1>
      <a:lt1>
        <a:srgbClr val="FFFFFF"/>
      </a:lt1>
      <a:dk2>
        <a:srgbClr val="FFFFFF"/>
      </a:dk2>
      <a:lt2>
        <a:srgbClr val="00467F"/>
      </a:lt2>
      <a:accent1>
        <a:srgbClr val="002B54"/>
      </a:accent1>
      <a:accent2>
        <a:srgbClr val="7FB9C2"/>
      </a:accent2>
      <a:accent3>
        <a:srgbClr val="6A7277"/>
      </a:accent3>
      <a:accent4>
        <a:srgbClr val="EF4623"/>
      </a:accent4>
      <a:accent5>
        <a:srgbClr val="00467F"/>
      </a:accent5>
      <a:accent6>
        <a:srgbClr val="CCCDC3"/>
      </a:accent6>
      <a:hlink>
        <a:srgbClr val="7FB9C2"/>
      </a:hlink>
      <a:folHlink>
        <a:srgbClr val="00467F"/>
      </a:folHlink>
    </a:clrScheme>
    <a:fontScheme name="Brattle 2015">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
  <sheetViews>
    <sheetView view="pageBreakPreview" zoomScale="60" zoomScaleNormal="100" workbookViewId="0"/>
  </sheetViews>
  <sheetFormatPr defaultColWidth="8.7265625" defaultRowHeight="14.5" x14ac:dyDescent="0.35"/>
  <cols>
    <col min="1" max="16384" width="8.7265625" style="30"/>
  </cols>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5"/>
  <sheetViews>
    <sheetView view="pageBreakPreview" zoomScaleNormal="100" zoomScaleSheetLayoutView="100" workbookViewId="0">
      <selection activeCell="D7" sqref="D7"/>
    </sheetView>
  </sheetViews>
  <sheetFormatPr defaultRowHeight="14.5" x14ac:dyDescent="0.35"/>
  <cols>
    <col min="2" max="2" width="16.7265625" customWidth="1"/>
    <col min="3" max="3" width="18.54296875" customWidth="1"/>
    <col min="4" max="4" width="19.26953125" customWidth="1"/>
    <col min="5" max="5" width="14.26953125" customWidth="1"/>
    <col min="6" max="6" width="21.81640625" customWidth="1"/>
    <col min="7" max="7" width="19.453125" customWidth="1"/>
    <col min="8" max="8" width="14.26953125" customWidth="1"/>
  </cols>
  <sheetData>
    <row r="2" spans="2:9" ht="18.399999999999999" x14ac:dyDescent="0.45">
      <c r="B2" s="1" t="s">
        <v>39</v>
      </c>
      <c r="C2" s="2"/>
      <c r="D2" s="2"/>
      <c r="E2" s="2"/>
      <c r="F2" s="2"/>
      <c r="G2" s="2"/>
      <c r="H2" s="2"/>
    </row>
    <row r="3" spans="2:9" ht="6" customHeight="1" thickBot="1" x14ac:dyDescent="0.5">
      <c r="B3" s="3"/>
      <c r="C3" s="4"/>
      <c r="D3" s="4"/>
      <c r="E3" s="4"/>
      <c r="F3" s="4"/>
      <c r="G3" s="4"/>
      <c r="H3" s="4"/>
    </row>
    <row r="4" spans="2:9" ht="6" customHeight="1" thickTop="1" x14ac:dyDescent="0.45">
      <c r="B4" s="5"/>
    </row>
    <row r="5" spans="2:9" ht="30" customHeight="1" x14ac:dyDescent="0.35">
      <c r="B5" s="44" t="s">
        <v>0</v>
      </c>
      <c r="C5" s="38" t="s">
        <v>50</v>
      </c>
      <c r="D5" s="38" t="s">
        <v>88</v>
      </c>
      <c r="E5" s="38" t="s">
        <v>5</v>
      </c>
      <c r="F5" s="38" t="s">
        <v>89</v>
      </c>
      <c r="G5" s="38" t="s">
        <v>6</v>
      </c>
      <c r="H5" s="38" t="s">
        <v>51</v>
      </c>
      <c r="I5" s="7"/>
    </row>
    <row r="6" spans="2:9" ht="6" customHeight="1" x14ac:dyDescent="0.35">
      <c r="B6" s="10"/>
      <c r="C6" s="11"/>
      <c r="D6" s="11"/>
      <c r="E6" s="11"/>
      <c r="F6" s="11"/>
      <c r="G6" s="11"/>
      <c r="H6" s="11"/>
    </row>
    <row r="7" spans="2:9" ht="14.65" x14ac:dyDescent="0.35">
      <c r="B7" t="s">
        <v>1</v>
      </c>
      <c r="C7" s="12">
        <v>310325279</v>
      </c>
      <c r="D7" s="13">
        <v>0.99299999999999999</v>
      </c>
      <c r="E7" s="12">
        <v>2546087</v>
      </c>
      <c r="F7" s="13">
        <v>0.71699999999999997</v>
      </c>
      <c r="G7" s="12">
        <v>6187858</v>
      </c>
      <c r="H7" s="13">
        <v>0.90800000000000003</v>
      </c>
    </row>
    <row r="8" spans="2:9" ht="14.65" x14ac:dyDescent="0.35">
      <c r="B8" t="s">
        <v>92</v>
      </c>
      <c r="C8" s="12">
        <v>304153186</v>
      </c>
      <c r="D8" s="13">
        <v>0.97299999999999998</v>
      </c>
      <c r="E8" s="12">
        <v>2353257</v>
      </c>
      <c r="F8" s="13">
        <v>0.66300000000000003</v>
      </c>
      <c r="G8" s="12">
        <v>5913414</v>
      </c>
      <c r="H8" s="13">
        <v>0.86699999999999999</v>
      </c>
    </row>
    <row r="9" spans="2:9" ht="14.65" x14ac:dyDescent="0.35">
      <c r="B9" t="s">
        <v>2</v>
      </c>
      <c r="C9" s="12">
        <v>287524311</v>
      </c>
      <c r="D9" s="13">
        <v>0.92</v>
      </c>
      <c r="E9" s="122">
        <v>977391</v>
      </c>
      <c r="F9" s="13">
        <v>0.27500000000000002</v>
      </c>
      <c r="G9" s="12">
        <v>3520150</v>
      </c>
      <c r="H9" s="13">
        <v>0.51600000000000001</v>
      </c>
    </row>
    <row r="10" spans="2:9" ht="14.65" x14ac:dyDescent="0.35">
      <c r="B10" t="s">
        <v>3</v>
      </c>
      <c r="C10" s="12">
        <v>297234855</v>
      </c>
      <c r="D10" s="13">
        <v>0.95099999999999996</v>
      </c>
      <c r="E10" s="12">
        <v>1695206</v>
      </c>
      <c r="F10" s="13">
        <v>0.47699999999999998</v>
      </c>
      <c r="G10" s="12">
        <v>4830828</v>
      </c>
      <c r="H10" s="13">
        <v>0.70899999999999996</v>
      </c>
    </row>
    <row r="11" spans="2:9" ht="6" customHeight="1" x14ac:dyDescent="0.35">
      <c r="C11" s="12"/>
      <c r="D11" s="13"/>
      <c r="E11" s="12"/>
      <c r="F11" s="13"/>
      <c r="G11" s="12"/>
      <c r="H11" s="13"/>
    </row>
    <row r="12" spans="2:9" ht="14.65" x14ac:dyDescent="0.35">
      <c r="B12" t="s">
        <v>7</v>
      </c>
      <c r="C12" s="12">
        <v>312471327</v>
      </c>
      <c r="D12" s="13">
        <v>1</v>
      </c>
      <c r="E12" s="12">
        <v>3550852</v>
      </c>
      <c r="F12" s="13">
        <v>1</v>
      </c>
      <c r="G12" s="12">
        <v>6817734</v>
      </c>
      <c r="H12" s="13">
        <v>1</v>
      </c>
    </row>
    <row r="13" spans="2:9" ht="6" customHeight="1" thickBot="1" x14ac:dyDescent="0.4">
      <c r="B13" s="4"/>
      <c r="C13" s="4"/>
      <c r="D13" s="4"/>
      <c r="E13" s="4"/>
      <c r="F13" s="4"/>
      <c r="G13" s="4"/>
      <c r="H13" s="4"/>
    </row>
    <row r="14" spans="2:9" ht="6" customHeight="1" thickTop="1" x14ac:dyDescent="0.35"/>
    <row r="15" spans="2:9" ht="59.65" customHeight="1" x14ac:dyDescent="0.25">
      <c r="B15" s="146" t="s">
        <v>103</v>
      </c>
      <c r="C15" s="146"/>
      <c r="D15" s="146"/>
      <c r="E15" s="146"/>
      <c r="F15" s="146"/>
      <c r="G15" s="146"/>
      <c r="H15" s="146"/>
    </row>
  </sheetData>
  <mergeCells count="1">
    <mergeCell ref="B15:H15"/>
  </mergeCells>
  <printOptions horizontalCentered="1"/>
  <pageMargins left="0.7" right="0.7" top="0.75" bottom="0.75" header="0.3" footer="0.3"/>
  <pageSetup scale="9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
  <sheetViews>
    <sheetView view="pageBreakPreview" zoomScaleNormal="100" zoomScaleSheetLayoutView="100" workbookViewId="0">
      <selection activeCell="C8" sqref="C8"/>
    </sheetView>
  </sheetViews>
  <sheetFormatPr defaultRowHeight="14.5" outlineLevelCol="1" x14ac:dyDescent="0.35"/>
  <cols>
    <col min="1" max="1" width="9.1796875" style="18" customWidth="1" outlineLevel="1"/>
    <col min="3" max="3" width="24.81640625" customWidth="1"/>
    <col min="4" max="4" width="8.453125" customWidth="1"/>
    <col min="5" max="5" width="9.7265625" customWidth="1"/>
    <col min="6" max="6" width="8.26953125" customWidth="1"/>
    <col min="7" max="7" width="7.453125" customWidth="1"/>
    <col min="8" max="9" width="9.54296875" customWidth="1"/>
    <col min="10" max="10" width="9" customWidth="1"/>
    <col min="11" max="11" width="8.453125" customWidth="1"/>
    <col min="12" max="12" width="9.54296875" customWidth="1"/>
    <col min="13" max="13" width="8.7265625" customWidth="1"/>
    <col min="14" max="14" width="7.81640625" customWidth="1"/>
    <col min="15" max="15" width="8.453125" customWidth="1"/>
    <col min="16" max="16" width="7.81640625" customWidth="1"/>
    <col min="17" max="17" width="8.1796875" customWidth="1"/>
    <col min="18" max="18" width="9.453125" customWidth="1"/>
    <col min="19" max="19" width="9.26953125" customWidth="1"/>
  </cols>
  <sheetData>
    <row r="1" spans="1:20" ht="14.65" x14ac:dyDescent="0.35">
      <c r="B1" s="50"/>
      <c r="C1" s="50"/>
      <c r="D1" s="50"/>
      <c r="E1" s="50"/>
      <c r="F1" s="50"/>
      <c r="G1" s="50"/>
      <c r="H1" s="50"/>
      <c r="I1" s="50"/>
      <c r="J1" s="50"/>
      <c r="K1" s="50"/>
      <c r="L1" s="50"/>
      <c r="M1" s="50"/>
      <c r="N1" s="50"/>
      <c r="O1" s="50"/>
      <c r="P1" s="50"/>
      <c r="Q1" s="50"/>
      <c r="R1" s="50"/>
      <c r="S1" s="50"/>
      <c r="T1" s="50"/>
    </row>
    <row r="2" spans="1:20" ht="18.399999999999999" x14ac:dyDescent="0.35">
      <c r="B2" s="50"/>
      <c r="C2" s="58" t="s">
        <v>40</v>
      </c>
      <c r="D2" s="58"/>
      <c r="E2" s="58"/>
      <c r="F2" s="58"/>
      <c r="G2" s="58"/>
      <c r="H2" s="58"/>
      <c r="I2" s="58"/>
      <c r="J2" s="58"/>
      <c r="K2" s="58"/>
      <c r="L2" s="58"/>
      <c r="M2" s="58"/>
      <c r="N2" s="58"/>
      <c r="O2" s="58"/>
      <c r="P2" s="58"/>
      <c r="Q2" s="58"/>
      <c r="R2" s="58"/>
      <c r="S2" s="58"/>
      <c r="T2" s="51"/>
    </row>
    <row r="3" spans="1:20" ht="6" customHeight="1" thickBot="1" x14ac:dyDescent="0.4">
      <c r="B3" s="50"/>
      <c r="C3" s="57"/>
      <c r="D3" s="57"/>
      <c r="E3" s="57"/>
      <c r="F3" s="57"/>
      <c r="G3" s="57"/>
      <c r="H3" s="57"/>
      <c r="I3" s="57"/>
      <c r="J3" s="57"/>
      <c r="K3" s="57"/>
      <c r="L3" s="57"/>
      <c r="M3" s="57"/>
      <c r="N3" s="57"/>
      <c r="O3" s="57"/>
      <c r="P3" s="57"/>
      <c r="Q3" s="57"/>
      <c r="R3" s="57"/>
      <c r="S3" s="57"/>
      <c r="T3" s="51"/>
    </row>
    <row r="4" spans="1:20" ht="6" customHeight="1" thickTop="1" x14ac:dyDescent="0.25">
      <c r="B4" s="50"/>
      <c r="C4" s="53"/>
      <c r="D4" s="53"/>
      <c r="E4" s="53"/>
      <c r="F4" s="53"/>
      <c r="G4" s="53"/>
      <c r="H4" s="53"/>
      <c r="I4" s="53"/>
      <c r="J4" s="53"/>
      <c r="K4" s="53"/>
      <c r="L4" s="53"/>
      <c r="M4" s="53"/>
      <c r="N4" s="53"/>
      <c r="O4" s="53"/>
      <c r="P4" s="53"/>
      <c r="Q4" s="53"/>
      <c r="R4" s="53"/>
      <c r="S4" s="53"/>
      <c r="T4" s="51"/>
    </row>
    <row r="5" spans="1:20" ht="15" x14ac:dyDescent="0.25">
      <c r="B5" s="50"/>
      <c r="C5" s="52"/>
      <c r="D5" s="126" t="s">
        <v>16</v>
      </c>
      <c r="E5" s="126" t="s">
        <v>17</v>
      </c>
      <c r="F5" s="126" t="s">
        <v>18</v>
      </c>
      <c r="G5" s="126" t="s">
        <v>19</v>
      </c>
      <c r="H5" s="126" t="s">
        <v>20</v>
      </c>
      <c r="I5" s="126" t="s">
        <v>21</v>
      </c>
      <c r="J5" s="126" t="s">
        <v>22</v>
      </c>
      <c r="K5" s="126" t="s">
        <v>23</v>
      </c>
      <c r="L5" s="126" t="s">
        <v>24</v>
      </c>
      <c r="M5" s="126" t="s">
        <v>25</v>
      </c>
      <c r="N5" s="126" t="s">
        <v>26</v>
      </c>
      <c r="O5" s="126" t="s">
        <v>27</v>
      </c>
      <c r="P5" s="126" t="s">
        <v>28</v>
      </c>
      <c r="Q5" s="126" t="s">
        <v>29</v>
      </c>
      <c r="R5" s="126" t="s">
        <v>30</v>
      </c>
      <c r="S5" s="126" t="s">
        <v>31</v>
      </c>
      <c r="T5" s="51"/>
    </row>
    <row r="6" spans="1:20" ht="15" x14ac:dyDescent="0.25">
      <c r="B6" s="50"/>
      <c r="C6" s="53" t="s">
        <v>41</v>
      </c>
      <c r="D6" s="104"/>
      <c r="E6" s="104"/>
      <c r="F6" s="104"/>
      <c r="G6" s="104"/>
      <c r="H6" s="104"/>
      <c r="I6" s="104"/>
      <c r="J6" s="104"/>
      <c r="K6" s="104"/>
      <c r="L6" s="104"/>
      <c r="M6" s="104"/>
      <c r="N6" s="104"/>
      <c r="O6" s="104"/>
      <c r="P6" s="104"/>
      <c r="Q6" s="104"/>
      <c r="R6" s="104"/>
      <c r="S6" s="104"/>
      <c r="T6" s="51"/>
    </row>
    <row r="7" spans="1:20" ht="15" x14ac:dyDescent="0.25">
      <c r="A7" s="18" t="str">
        <f>C7&amp;"Churn"</f>
        <v>AT&amp;TChurn</v>
      </c>
      <c r="B7" s="50"/>
      <c r="C7" s="55" t="s">
        <v>1</v>
      </c>
      <c r="D7" s="127">
        <v>1.38E-2</v>
      </c>
      <c r="E7" s="127">
        <v>1.3599999999999999E-2</v>
      </c>
      <c r="F7" s="127">
        <v>1.3100000000000001E-2</v>
      </c>
      <c r="G7" s="127">
        <v>1.43E-2</v>
      </c>
      <c r="H7" s="127">
        <v>1.3899999999999999E-2</v>
      </c>
      <c r="I7" s="127">
        <v>1.47E-2</v>
      </c>
      <c r="J7" s="127">
        <v>1.3599999999999999E-2</v>
      </c>
      <c r="K7" s="127">
        <v>1.5900000000000001E-2</v>
      </c>
      <c r="L7" s="127">
        <v>1.4E-2</v>
      </c>
      <c r="M7" s="127">
        <v>1.3100000000000001E-2</v>
      </c>
      <c r="N7" s="127">
        <v>1.3299999999999999E-2</v>
      </c>
      <c r="O7" s="127">
        <v>1.4999999999999999E-2</v>
      </c>
      <c r="P7" s="127">
        <v>1.4200000000000001E-2</v>
      </c>
      <c r="Q7" s="127">
        <v>1.35E-2</v>
      </c>
      <c r="R7" s="127">
        <v>1.4500000000000001E-2</v>
      </c>
      <c r="S7" s="127">
        <v>1.7100000000000001E-2</v>
      </c>
      <c r="T7" s="51"/>
    </row>
    <row r="8" spans="1:20" ht="15" x14ac:dyDescent="0.25">
      <c r="A8" s="18" t="str">
        <f t="shared" ref="A8:A11" si="0">C8&amp;"Churn"</f>
        <v>SprintChurn</v>
      </c>
      <c r="B8" s="50"/>
      <c r="C8" s="55" t="s">
        <v>2</v>
      </c>
      <c r="D8" s="127">
        <v>2.2499999999999999E-2</v>
      </c>
      <c r="E8" s="127">
        <v>3.2199999999999999E-2</v>
      </c>
      <c r="F8" s="127">
        <v>2.2800000000000001E-2</v>
      </c>
      <c r="G8" s="127">
        <v>2.1499999999999998E-2</v>
      </c>
      <c r="H8" s="127">
        <v>2.4799999999999999E-2</v>
      </c>
      <c r="I8" s="127">
        <v>2.4299999999999999E-2</v>
      </c>
      <c r="J8" s="127">
        <v>2.2700000000000001E-2</v>
      </c>
      <c r="K8" s="127">
        <v>2.35E-2</v>
      </c>
      <c r="L8" s="127">
        <v>2.07E-2</v>
      </c>
      <c r="M8" s="127">
        <v>2.2499999999999999E-2</v>
      </c>
      <c r="N8" s="127">
        <v>2.1899999999999999E-2</v>
      </c>
      <c r="O8" s="127">
        <v>2.4799999999999999E-2</v>
      </c>
      <c r="P8" s="127">
        <v>2.3E-2</v>
      </c>
      <c r="Q8" s="127">
        <v>2.1399999999999999E-2</v>
      </c>
      <c r="R8" s="127">
        <v>2.0799999999999999E-2</v>
      </c>
      <c r="S8" s="127">
        <v>2.1899999999999999E-2</v>
      </c>
      <c r="T8" s="51"/>
    </row>
    <row r="9" spans="1:20" ht="15" x14ac:dyDescent="0.25">
      <c r="A9" s="18" t="str">
        <f t="shared" si="0"/>
        <v>T-MobileChurn</v>
      </c>
      <c r="B9" s="50"/>
      <c r="C9" s="55" t="s">
        <v>3</v>
      </c>
      <c r="D9" s="127">
        <v>3.3000000000000002E-2</v>
      </c>
      <c r="E9" s="127">
        <v>2.5999999999999999E-2</v>
      </c>
      <c r="F9" s="127">
        <v>2.4899999999999999E-2</v>
      </c>
      <c r="G9" s="127">
        <v>2.4799999999999999E-2</v>
      </c>
      <c r="H9" s="127">
        <v>2.0799999999999999E-2</v>
      </c>
      <c r="I9" s="127">
        <v>2.1299999999999999E-2</v>
      </c>
      <c r="J9" s="127">
        <v>2.2599999999999999E-2</v>
      </c>
      <c r="K9" s="127">
        <v>2.47E-2</v>
      </c>
      <c r="L9" s="127">
        <v>0.02</v>
      </c>
      <c r="M9" s="127">
        <v>2.06E-2</v>
      </c>
      <c r="N9" s="127">
        <v>1.8700000000000001E-2</v>
      </c>
      <c r="O9" s="127">
        <v>1.9E-2</v>
      </c>
      <c r="P9" s="127">
        <v>1.7399999999999999E-2</v>
      </c>
      <c r="Q9" s="127">
        <v>1.7299999999999999E-2</v>
      </c>
      <c r="R9" s="127">
        <v>1.7100000000000001E-2</v>
      </c>
      <c r="S9" s="127">
        <v>1.7100000000000001E-2</v>
      </c>
      <c r="T9" s="56"/>
    </row>
    <row r="10" spans="1:20" ht="15" x14ac:dyDescent="0.25">
      <c r="A10" s="18" t="str">
        <f t="shared" si="0"/>
        <v>VerizonChurn</v>
      </c>
      <c r="B10" s="50"/>
      <c r="C10" s="55" t="s">
        <v>92</v>
      </c>
      <c r="D10" s="127">
        <v>1.2699999999999999E-2</v>
      </c>
      <c r="E10" s="127">
        <v>1.2E-2</v>
      </c>
      <c r="F10" s="127">
        <v>1.2500000000000001E-2</v>
      </c>
      <c r="G10" s="127">
        <v>1.24E-2</v>
      </c>
      <c r="H10" s="127">
        <v>1.34E-2</v>
      </c>
      <c r="I10" s="127">
        <v>1.2200000000000001E-2</v>
      </c>
      <c r="J10" s="127">
        <v>1.26E-2</v>
      </c>
      <c r="K10" s="127">
        <v>1.3599999999999999E-2</v>
      </c>
      <c r="L10" s="127">
        <v>1.2999999999999999E-2</v>
      </c>
      <c r="M10" s="127">
        <v>1.15E-2</v>
      </c>
      <c r="N10" s="127">
        <v>1.18E-2</v>
      </c>
      <c r="O10" s="127">
        <v>1.2E-2</v>
      </c>
      <c r="P10" s="127">
        <v>1.2E-2</v>
      </c>
      <c r="Q10" s="127">
        <v>1.1599999999999999E-2</v>
      </c>
      <c r="R10" s="127">
        <v>1.2500000000000001E-2</v>
      </c>
      <c r="S10" s="127">
        <v>1.3100000000000001E-2</v>
      </c>
      <c r="T10" s="51"/>
    </row>
    <row r="11" spans="1:20" ht="15" x14ac:dyDescent="0.25">
      <c r="A11" s="18" t="str">
        <f t="shared" si="0"/>
        <v>US CellularChurn</v>
      </c>
      <c r="B11" s="50"/>
      <c r="C11" s="55" t="s">
        <v>11</v>
      </c>
      <c r="D11" s="127">
        <v>2.06E-2</v>
      </c>
      <c r="E11" s="127">
        <v>6.2899999999999998E-2</v>
      </c>
      <c r="F11" s="127">
        <v>2.1899999999999999E-2</v>
      </c>
      <c r="G11" s="127">
        <v>2.35E-2</v>
      </c>
      <c r="H11" s="127">
        <v>2.6200000000000001E-2</v>
      </c>
      <c r="I11" s="127">
        <v>2.0400000000000001E-2</v>
      </c>
      <c r="J11" s="127">
        <v>2.1000000000000001E-2</v>
      </c>
      <c r="K11" s="127">
        <v>1.95E-2</v>
      </c>
      <c r="L11" s="127">
        <v>1.7999999999999999E-2</v>
      </c>
      <c r="M11" s="127">
        <v>1.7600000000000001E-2</v>
      </c>
      <c r="N11" s="127">
        <v>1.6899999999999998E-2</v>
      </c>
      <c r="O11" s="127">
        <v>1.6500000000000001E-2</v>
      </c>
      <c r="P11" s="127">
        <v>1.6299999999999999E-2</v>
      </c>
      <c r="Q11" s="127">
        <v>1.4999999999999999E-2</v>
      </c>
      <c r="R11" s="127">
        <v>1.66E-2</v>
      </c>
      <c r="S11" s="127">
        <v>1.7399999999999999E-2</v>
      </c>
      <c r="T11" s="51"/>
    </row>
    <row r="12" spans="1:20" ht="15" x14ac:dyDescent="0.25">
      <c r="B12" s="50"/>
      <c r="C12" s="53" t="s">
        <v>42</v>
      </c>
      <c r="D12" s="128">
        <v>1.6299999999999999E-2</v>
      </c>
      <c r="E12" s="128">
        <v>1.8499999999999999E-2</v>
      </c>
      <c r="F12" s="128">
        <v>1.6299999999999999E-2</v>
      </c>
      <c r="G12" s="128">
        <v>1.5900000000000001E-2</v>
      </c>
      <c r="H12" s="128">
        <v>1.5900000000000001E-2</v>
      </c>
      <c r="I12" s="128">
        <v>1.5699999999999999E-2</v>
      </c>
      <c r="J12" s="128">
        <v>1.55E-2</v>
      </c>
      <c r="K12" s="128">
        <v>1.7000000000000001E-2</v>
      </c>
      <c r="L12" s="128">
        <v>1.5100000000000001E-2</v>
      </c>
      <c r="M12" s="128">
        <v>1.44E-2</v>
      </c>
      <c r="N12" s="128">
        <v>1.4500000000000001E-2</v>
      </c>
      <c r="O12" s="128">
        <v>1.5800000000000002E-2</v>
      </c>
      <c r="P12" s="128">
        <v>1.4999999999999999E-2</v>
      </c>
      <c r="Q12" s="128">
        <v>1.4200000000000001E-2</v>
      </c>
      <c r="R12" s="128">
        <v>1.49E-2</v>
      </c>
      <c r="S12" s="128">
        <v>1.61E-2</v>
      </c>
      <c r="T12" s="51"/>
    </row>
    <row r="13" spans="1:20" ht="6" customHeight="1" x14ac:dyDescent="0.25">
      <c r="B13" s="50"/>
      <c r="C13" s="53"/>
      <c r="D13" s="128"/>
      <c r="E13" s="128"/>
      <c r="F13" s="128"/>
      <c r="G13" s="128"/>
      <c r="H13" s="128"/>
      <c r="I13" s="128"/>
      <c r="J13" s="128"/>
      <c r="K13" s="128"/>
      <c r="L13" s="128"/>
      <c r="M13" s="128"/>
      <c r="N13" s="128"/>
      <c r="O13" s="128"/>
      <c r="P13" s="128"/>
      <c r="Q13" s="128"/>
      <c r="R13" s="128"/>
      <c r="S13" s="128"/>
      <c r="T13" s="51"/>
    </row>
    <row r="14" spans="1:20" ht="15" x14ac:dyDescent="0.25">
      <c r="B14" s="50"/>
      <c r="C14" s="53" t="s">
        <v>43</v>
      </c>
      <c r="D14" s="104"/>
      <c r="E14" s="104"/>
      <c r="F14" s="104"/>
      <c r="G14" s="104"/>
      <c r="H14" s="104"/>
      <c r="I14" s="104"/>
      <c r="J14" s="104"/>
      <c r="K14" s="104"/>
      <c r="L14" s="104"/>
      <c r="M14" s="104"/>
      <c r="N14" s="104"/>
      <c r="O14" s="104"/>
      <c r="P14" s="104"/>
      <c r="Q14" s="104"/>
      <c r="R14" s="104"/>
      <c r="S14" s="104"/>
      <c r="T14" s="51"/>
    </row>
    <row r="15" spans="1:20" ht="15" x14ac:dyDescent="0.25">
      <c r="B15" s="50"/>
      <c r="C15" s="55" t="s">
        <v>1</v>
      </c>
      <c r="D15" s="129">
        <v>4434</v>
      </c>
      <c r="E15" s="129">
        <v>4389</v>
      </c>
      <c r="F15" s="129">
        <v>4271</v>
      </c>
      <c r="G15" s="129">
        <v>4713</v>
      </c>
      <c r="H15" s="129">
        <v>4621</v>
      </c>
      <c r="I15" s="129">
        <v>4924</v>
      </c>
      <c r="J15" s="129">
        <v>4803</v>
      </c>
      <c r="K15" s="129">
        <v>5708</v>
      </c>
      <c r="L15" s="129">
        <v>5092</v>
      </c>
      <c r="M15" s="129">
        <v>4829</v>
      </c>
      <c r="N15" s="129">
        <v>4995</v>
      </c>
      <c r="O15" s="129">
        <v>5740</v>
      </c>
      <c r="P15" s="129">
        <v>5520</v>
      </c>
      <c r="Q15" s="129">
        <v>5311</v>
      </c>
      <c r="R15" s="129">
        <v>5768</v>
      </c>
      <c r="S15" s="129">
        <v>6880</v>
      </c>
      <c r="T15" s="51"/>
    </row>
    <row r="16" spans="1:20" ht="15" x14ac:dyDescent="0.25">
      <c r="B16" s="50"/>
      <c r="C16" s="55" t="s">
        <v>2</v>
      </c>
      <c r="D16" s="129">
        <v>3748</v>
      </c>
      <c r="E16" s="129">
        <v>5251</v>
      </c>
      <c r="F16" s="129">
        <v>3701</v>
      </c>
      <c r="G16" s="129">
        <v>3548</v>
      </c>
      <c r="H16" s="129">
        <v>4096</v>
      </c>
      <c r="I16" s="129">
        <v>3997</v>
      </c>
      <c r="J16" s="129">
        <v>3739</v>
      </c>
      <c r="K16" s="129">
        <v>3920</v>
      </c>
      <c r="L16" s="129">
        <v>3503</v>
      </c>
      <c r="M16" s="129">
        <v>3871</v>
      </c>
      <c r="N16" s="129">
        <v>3816</v>
      </c>
      <c r="O16" s="129">
        <v>4352</v>
      </c>
      <c r="P16" s="129">
        <v>4058</v>
      </c>
      <c r="Q16" s="129">
        <v>3810</v>
      </c>
      <c r="R16" s="129">
        <v>3743</v>
      </c>
      <c r="S16" s="129">
        <v>3935</v>
      </c>
      <c r="T16" s="51"/>
    </row>
    <row r="17" spans="2:20" ht="15" x14ac:dyDescent="0.25">
      <c r="B17" s="50"/>
      <c r="C17" s="55" t="s">
        <v>3</v>
      </c>
      <c r="D17" s="129">
        <v>2706</v>
      </c>
      <c r="E17" s="129">
        <v>2942</v>
      </c>
      <c r="F17" s="129">
        <v>2969</v>
      </c>
      <c r="G17" s="129">
        <v>2749</v>
      </c>
      <c r="H17" s="129">
        <v>2384</v>
      </c>
      <c r="I17" s="129">
        <v>2728</v>
      </c>
      <c r="J17" s="129">
        <v>2958</v>
      </c>
      <c r="K17" s="129">
        <v>3409</v>
      </c>
      <c r="L17" s="129">
        <v>2729</v>
      </c>
      <c r="M17" s="129">
        <v>2692</v>
      </c>
      <c r="N17" s="129">
        <v>2745</v>
      </c>
      <c r="O17" s="129">
        <v>3251</v>
      </c>
      <c r="P17" s="129">
        <v>2990</v>
      </c>
      <c r="Q17" s="129">
        <v>2940</v>
      </c>
      <c r="R17" s="129">
        <v>3195</v>
      </c>
      <c r="S17" s="129">
        <v>3246</v>
      </c>
      <c r="T17" s="51"/>
    </row>
    <row r="18" spans="2:20" ht="15" x14ac:dyDescent="0.25">
      <c r="B18" s="50"/>
      <c r="C18" s="55" t="s">
        <v>4</v>
      </c>
      <c r="D18" s="129">
        <v>4489</v>
      </c>
      <c r="E18" s="129">
        <v>4328</v>
      </c>
      <c r="F18" s="129">
        <v>4588</v>
      </c>
      <c r="G18" s="129">
        <v>4632</v>
      </c>
      <c r="H18" s="129">
        <v>5077</v>
      </c>
      <c r="I18" s="129">
        <v>4709</v>
      </c>
      <c r="J18" s="129">
        <v>4953</v>
      </c>
      <c r="K18" s="129">
        <v>5439</v>
      </c>
      <c r="L18" s="129">
        <v>5265</v>
      </c>
      <c r="M18" s="129">
        <v>4707</v>
      </c>
      <c r="N18" s="129">
        <v>4887</v>
      </c>
      <c r="O18" s="129">
        <v>5047</v>
      </c>
      <c r="P18" s="129">
        <v>5107</v>
      </c>
      <c r="Q18" s="129">
        <v>4984</v>
      </c>
      <c r="R18" s="129">
        <v>5408</v>
      </c>
      <c r="S18" s="129">
        <v>5711</v>
      </c>
      <c r="T18" s="51"/>
    </row>
    <row r="19" spans="2:20" ht="15" x14ac:dyDescent="0.25">
      <c r="B19" s="50"/>
      <c r="C19" s="55" t="s">
        <v>11</v>
      </c>
      <c r="D19" s="130">
        <v>357</v>
      </c>
      <c r="E19" s="129">
        <v>1010</v>
      </c>
      <c r="F19" s="130">
        <v>323</v>
      </c>
      <c r="G19" s="130">
        <v>340</v>
      </c>
      <c r="H19" s="130">
        <v>372</v>
      </c>
      <c r="I19" s="130">
        <v>286</v>
      </c>
      <c r="J19" s="130">
        <v>294</v>
      </c>
      <c r="K19" s="130">
        <v>276</v>
      </c>
      <c r="L19" s="130">
        <v>258</v>
      </c>
      <c r="M19" s="130">
        <v>252</v>
      </c>
      <c r="N19" s="130">
        <v>243</v>
      </c>
      <c r="O19" s="130">
        <v>240</v>
      </c>
      <c r="P19" s="130">
        <v>240</v>
      </c>
      <c r="Q19" s="130">
        <v>223</v>
      </c>
      <c r="R19" s="130">
        <v>249</v>
      </c>
      <c r="S19" s="130">
        <v>264</v>
      </c>
      <c r="T19" s="51"/>
    </row>
    <row r="20" spans="2:20" ht="15" x14ac:dyDescent="0.25">
      <c r="B20" s="50"/>
      <c r="C20" s="53" t="s">
        <v>44</v>
      </c>
      <c r="D20" s="131">
        <v>16382</v>
      </c>
      <c r="E20" s="131">
        <v>18645</v>
      </c>
      <c r="F20" s="131">
        <v>16625</v>
      </c>
      <c r="G20" s="131">
        <v>16429</v>
      </c>
      <c r="H20" s="131">
        <v>16633</v>
      </c>
      <c r="I20" s="131">
        <v>16733</v>
      </c>
      <c r="J20" s="131">
        <v>16789</v>
      </c>
      <c r="K20" s="131">
        <v>18800</v>
      </c>
      <c r="L20" s="131">
        <v>16909</v>
      </c>
      <c r="M20" s="131">
        <v>16413</v>
      </c>
      <c r="N20" s="131">
        <v>16747</v>
      </c>
      <c r="O20" s="131">
        <v>18655</v>
      </c>
      <c r="P20" s="131">
        <v>17915</v>
      </c>
      <c r="Q20" s="131">
        <v>17268</v>
      </c>
      <c r="R20" s="131">
        <v>18362</v>
      </c>
      <c r="S20" s="131">
        <v>20035</v>
      </c>
      <c r="T20" s="51"/>
    </row>
    <row r="21" spans="2:20" ht="15" x14ac:dyDescent="0.25">
      <c r="B21" s="50"/>
      <c r="C21" s="55" t="s">
        <v>45</v>
      </c>
      <c r="D21" s="127">
        <v>-5.6000000000000001E-2</v>
      </c>
      <c r="E21" s="127">
        <v>0.16400000000000001</v>
      </c>
      <c r="F21" s="127">
        <v>-4.3999999999999997E-2</v>
      </c>
      <c r="G21" s="127">
        <v>-0.112</v>
      </c>
      <c r="H21" s="127">
        <v>1.4999999999999999E-2</v>
      </c>
      <c r="I21" s="127">
        <v>-0.10299999999999999</v>
      </c>
      <c r="J21" s="127">
        <v>0.01</v>
      </c>
      <c r="K21" s="127">
        <v>0.14399999999999999</v>
      </c>
      <c r="L21" s="127">
        <v>1.7000000000000001E-2</v>
      </c>
      <c r="M21" s="127">
        <v>-1.9E-2</v>
      </c>
      <c r="N21" s="127">
        <v>-3.0000000000000001E-3</v>
      </c>
      <c r="O21" s="127">
        <v>-8.0000000000000002E-3</v>
      </c>
      <c r="P21" s="127">
        <v>5.8999999999999997E-2</v>
      </c>
      <c r="Q21" s="127">
        <v>5.1999999999999998E-2</v>
      </c>
      <c r="R21" s="127">
        <v>9.6000000000000002E-2</v>
      </c>
      <c r="S21" s="127">
        <v>7.3999999999999996E-2</v>
      </c>
      <c r="T21" s="51"/>
    </row>
    <row r="22" spans="2:20" ht="6" customHeight="1" x14ac:dyDescent="0.25">
      <c r="B22" s="50"/>
      <c r="C22" s="55"/>
      <c r="D22" s="127"/>
      <c r="E22" s="127"/>
      <c r="F22" s="127"/>
      <c r="G22" s="127"/>
      <c r="H22" s="127"/>
      <c r="I22" s="127"/>
      <c r="J22" s="127"/>
      <c r="K22" s="127"/>
      <c r="L22" s="127"/>
      <c r="M22" s="127"/>
      <c r="N22" s="127"/>
      <c r="O22" s="127"/>
      <c r="P22" s="127"/>
      <c r="Q22" s="127"/>
      <c r="R22" s="127"/>
      <c r="S22" s="127"/>
      <c r="T22" s="51"/>
    </row>
    <row r="23" spans="2:20" ht="30" x14ac:dyDescent="0.25">
      <c r="B23" s="50"/>
      <c r="C23" s="53" t="s">
        <v>53</v>
      </c>
      <c r="D23" s="132"/>
      <c r="E23" s="104"/>
      <c r="F23" s="104"/>
      <c r="G23" s="104"/>
      <c r="H23" s="104"/>
      <c r="I23" s="104"/>
      <c r="J23" s="104"/>
      <c r="K23" s="104"/>
      <c r="L23" s="104"/>
      <c r="M23" s="104"/>
      <c r="N23" s="104"/>
      <c r="O23" s="104"/>
      <c r="P23" s="104"/>
      <c r="Q23" s="104"/>
      <c r="R23" s="104"/>
      <c r="S23" s="104"/>
      <c r="T23" s="51"/>
    </row>
    <row r="24" spans="2:20" ht="15" x14ac:dyDescent="0.25">
      <c r="B24" s="50"/>
      <c r="C24" s="55" t="s">
        <v>1</v>
      </c>
      <c r="D24" s="130">
        <v>291</v>
      </c>
      <c r="E24" s="130">
        <v>632</v>
      </c>
      <c r="F24" s="130">
        <v>989</v>
      </c>
      <c r="G24" s="130">
        <v>809</v>
      </c>
      <c r="H24" s="129">
        <v>1062</v>
      </c>
      <c r="I24" s="130">
        <v>634</v>
      </c>
      <c r="J24" s="129">
        <v>2007</v>
      </c>
      <c r="K24" s="129">
        <v>1905</v>
      </c>
      <c r="L24" s="129">
        <v>1218</v>
      </c>
      <c r="M24" s="129">
        <v>2094</v>
      </c>
      <c r="N24" s="129">
        <v>2513</v>
      </c>
      <c r="O24" s="129">
        <v>2234</v>
      </c>
      <c r="P24" s="129">
        <v>1781</v>
      </c>
      <c r="Q24" s="129">
        <v>1361</v>
      </c>
      <c r="R24" s="129">
        <v>1532</v>
      </c>
      <c r="S24" s="129">
        <v>1522</v>
      </c>
      <c r="T24" s="51"/>
    </row>
    <row r="25" spans="2:20" ht="15" x14ac:dyDescent="0.25">
      <c r="B25" s="50"/>
      <c r="C25" s="55" t="s">
        <v>2</v>
      </c>
      <c r="D25" s="133">
        <v>-415</v>
      </c>
      <c r="E25" s="134">
        <v>-2034</v>
      </c>
      <c r="F25" s="133">
        <v>-270</v>
      </c>
      <c r="G25" s="130">
        <v>555</v>
      </c>
      <c r="H25" s="133">
        <v>-467</v>
      </c>
      <c r="I25" s="133">
        <v>-334</v>
      </c>
      <c r="J25" s="130">
        <v>484</v>
      </c>
      <c r="K25" s="130">
        <v>892</v>
      </c>
      <c r="L25" s="129">
        <v>1212</v>
      </c>
      <c r="M25" s="130">
        <v>527</v>
      </c>
      <c r="N25" s="130">
        <v>910</v>
      </c>
      <c r="O25" s="130">
        <v>36</v>
      </c>
      <c r="P25" s="130">
        <v>447</v>
      </c>
      <c r="Q25" s="130">
        <v>647</v>
      </c>
      <c r="R25" s="130">
        <v>740</v>
      </c>
      <c r="S25" s="130">
        <v>577</v>
      </c>
      <c r="T25" s="51"/>
    </row>
    <row r="26" spans="2:20" ht="15" x14ac:dyDescent="0.25">
      <c r="B26" s="50"/>
      <c r="C26" s="55" t="s">
        <v>3</v>
      </c>
      <c r="D26" s="130">
        <v>579</v>
      </c>
      <c r="E26" s="129">
        <v>1053</v>
      </c>
      <c r="F26" s="129">
        <v>1023</v>
      </c>
      <c r="G26" s="129">
        <v>1645</v>
      </c>
      <c r="H26" s="129">
        <v>2391</v>
      </c>
      <c r="I26" s="129">
        <v>1470</v>
      </c>
      <c r="J26" s="129">
        <v>2345</v>
      </c>
      <c r="K26" s="129">
        <v>2128</v>
      </c>
      <c r="L26" s="129">
        <v>1818</v>
      </c>
      <c r="M26" s="129">
        <v>2072</v>
      </c>
      <c r="N26" s="129">
        <v>2312</v>
      </c>
      <c r="O26" s="129">
        <v>2062</v>
      </c>
      <c r="P26" s="129">
        <v>2221</v>
      </c>
      <c r="Q26" s="129">
        <v>1881</v>
      </c>
      <c r="R26" s="129">
        <v>1970</v>
      </c>
      <c r="S26" s="129">
        <v>2101</v>
      </c>
      <c r="T26" s="51"/>
    </row>
    <row r="27" spans="2:20" ht="15" x14ac:dyDescent="0.25">
      <c r="B27" s="50"/>
      <c r="C27" s="55" t="s">
        <v>4</v>
      </c>
      <c r="D27" s="129">
        <v>2218</v>
      </c>
      <c r="E27" s="129">
        <v>2281</v>
      </c>
      <c r="F27" s="129">
        <v>1892</v>
      </c>
      <c r="G27" s="129">
        <v>2477</v>
      </c>
      <c r="H27" s="129">
        <v>1498</v>
      </c>
      <c r="I27" s="129">
        <v>2722</v>
      </c>
      <c r="J27" s="129">
        <v>2458</v>
      </c>
      <c r="K27" s="129">
        <v>2557</v>
      </c>
      <c r="L27" s="130">
        <v>602</v>
      </c>
      <c r="M27" s="129">
        <v>1475</v>
      </c>
      <c r="N27" s="129">
        <v>1987</v>
      </c>
      <c r="O27" s="129">
        <v>2212</v>
      </c>
      <c r="P27" s="129">
        <v>1163</v>
      </c>
      <c r="Q27" s="129">
        <v>1285</v>
      </c>
      <c r="R27" s="129">
        <v>1225</v>
      </c>
      <c r="S27" s="129">
        <v>1282</v>
      </c>
      <c r="T27" s="51"/>
    </row>
    <row r="28" spans="2:20" ht="15" x14ac:dyDescent="0.25">
      <c r="B28" s="50"/>
      <c r="C28" s="55" t="s">
        <v>11</v>
      </c>
      <c r="D28" s="133">
        <v>-62</v>
      </c>
      <c r="E28" s="133">
        <v>-768</v>
      </c>
      <c r="F28" s="133">
        <v>-93</v>
      </c>
      <c r="G28" s="133">
        <v>-101</v>
      </c>
      <c r="H28" s="133">
        <v>-90</v>
      </c>
      <c r="I28" s="133">
        <v>-31</v>
      </c>
      <c r="J28" s="130">
        <v>21</v>
      </c>
      <c r="K28" s="130">
        <v>86</v>
      </c>
      <c r="L28" s="130">
        <v>15</v>
      </c>
      <c r="M28" s="130">
        <v>4</v>
      </c>
      <c r="N28" s="130">
        <v>28</v>
      </c>
      <c r="O28" s="130">
        <v>69</v>
      </c>
      <c r="P28" s="130">
        <v>50</v>
      </c>
      <c r="Q28" s="130">
        <v>47</v>
      </c>
      <c r="R28" s="130">
        <v>57</v>
      </c>
      <c r="S28" s="130">
        <v>6</v>
      </c>
      <c r="T28" s="51"/>
    </row>
    <row r="29" spans="2:20" ht="15" x14ac:dyDescent="0.25">
      <c r="B29" s="50"/>
      <c r="C29" s="53" t="s">
        <v>46</v>
      </c>
      <c r="D29" s="131">
        <v>2517</v>
      </c>
      <c r="E29" s="135">
        <v>788</v>
      </c>
      <c r="F29" s="131">
        <v>3229</v>
      </c>
      <c r="G29" s="131">
        <v>5389</v>
      </c>
      <c r="H29" s="131">
        <v>4378</v>
      </c>
      <c r="I29" s="131">
        <v>4418</v>
      </c>
      <c r="J29" s="131">
        <v>7214</v>
      </c>
      <c r="K29" s="131">
        <v>7465</v>
      </c>
      <c r="L29" s="131">
        <v>4748</v>
      </c>
      <c r="M29" s="131">
        <v>6136</v>
      </c>
      <c r="N29" s="131">
        <v>7715</v>
      </c>
      <c r="O29" s="131">
        <v>6615</v>
      </c>
      <c r="P29" s="131">
        <v>5662</v>
      </c>
      <c r="Q29" s="131">
        <v>5228</v>
      </c>
      <c r="R29" s="131">
        <v>5539</v>
      </c>
      <c r="S29" s="131">
        <v>5521</v>
      </c>
      <c r="T29" s="51"/>
    </row>
    <row r="30" spans="2:20" ht="15" x14ac:dyDescent="0.25">
      <c r="B30" s="50"/>
      <c r="C30" s="59" t="s">
        <v>45</v>
      </c>
      <c r="D30" s="136">
        <v>-0.28799999999999998</v>
      </c>
      <c r="E30" s="136">
        <v>-0.64900000000000002</v>
      </c>
      <c r="F30" s="136">
        <v>0.498</v>
      </c>
      <c r="G30" s="136">
        <v>0.46400000000000002</v>
      </c>
      <c r="H30" s="136">
        <v>0.73899999999999999</v>
      </c>
      <c r="I30" s="136">
        <v>4.6070000000000002</v>
      </c>
      <c r="J30" s="136">
        <v>1.2350000000000001</v>
      </c>
      <c r="K30" s="136">
        <v>0.38500000000000001</v>
      </c>
      <c r="L30" s="136">
        <v>8.5000000000000006E-2</v>
      </c>
      <c r="M30" s="136">
        <v>0.38900000000000001</v>
      </c>
      <c r="N30" s="136">
        <v>6.9000000000000006E-2</v>
      </c>
      <c r="O30" s="136">
        <v>-0.114</v>
      </c>
      <c r="P30" s="136">
        <v>0.192</v>
      </c>
      <c r="Q30" s="136">
        <v>-0.14799999999999999</v>
      </c>
      <c r="R30" s="136">
        <v>-0.28199999999999997</v>
      </c>
      <c r="S30" s="136">
        <v>-0.16500000000000001</v>
      </c>
      <c r="T30" s="51"/>
    </row>
    <row r="31" spans="2:20" ht="6" customHeight="1" thickBot="1" x14ac:dyDescent="0.3">
      <c r="B31" s="50"/>
      <c r="C31" s="60"/>
      <c r="D31" s="61"/>
      <c r="E31" s="61"/>
      <c r="F31" s="61"/>
      <c r="G31" s="61"/>
      <c r="H31" s="61"/>
      <c r="I31" s="61"/>
      <c r="J31" s="61"/>
      <c r="K31" s="61"/>
      <c r="L31" s="61"/>
      <c r="M31" s="61"/>
      <c r="N31" s="61"/>
      <c r="O31" s="61"/>
      <c r="P31" s="61"/>
      <c r="Q31" s="61"/>
      <c r="R31" s="61"/>
      <c r="S31" s="61"/>
      <c r="T31" s="51"/>
    </row>
    <row r="32" spans="2:20" ht="6" customHeight="1" thickTop="1" x14ac:dyDescent="0.25">
      <c r="C32" s="45"/>
      <c r="D32" s="46"/>
    </row>
    <row r="33" spans="3:19" ht="18" customHeight="1" x14ac:dyDescent="0.25">
      <c r="C33" s="150" t="s">
        <v>101</v>
      </c>
      <c r="D33" s="150"/>
      <c r="E33" s="150"/>
      <c r="F33" s="150"/>
      <c r="G33" s="150"/>
      <c r="H33" s="150"/>
      <c r="I33" s="150"/>
      <c r="J33" s="150"/>
      <c r="K33" s="150"/>
      <c r="L33" s="150"/>
      <c r="M33" s="150"/>
      <c r="N33" s="150"/>
      <c r="O33" s="150"/>
      <c r="P33" s="150"/>
      <c r="Q33" s="150"/>
      <c r="R33" s="150"/>
      <c r="S33" s="150"/>
    </row>
  </sheetData>
  <mergeCells count="1">
    <mergeCell ref="C33:S33"/>
  </mergeCells>
  <printOptions horizontalCentered="1"/>
  <pageMargins left="0.7" right="0.7" top="0.75" bottom="0.75" header="0.3" footer="0.3"/>
  <pageSetup scale="74" orientation="landscape"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2"/>
  <sheetViews>
    <sheetView view="pageBreakPreview" zoomScaleNormal="100" zoomScaleSheetLayoutView="100" workbookViewId="0">
      <selection activeCell="B9" sqref="B9"/>
    </sheetView>
  </sheetViews>
  <sheetFormatPr defaultRowHeight="14.5" x14ac:dyDescent="0.35"/>
  <cols>
    <col min="2" max="2" width="40.81640625" customWidth="1"/>
    <col min="3" max="3" width="12.7265625" customWidth="1"/>
    <col min="4" max="5" width="13.26953125" customWidth="1"/>
    <col min="6" max="6" width="12.7265625" customWidth="1"/>
    <col min="7" max="7" width="10.81640625" customWidth="1"/>
  </cols>
  <sheetData>
    <row r="2" spans="2:15" ht="18.5" x14ac:dyDescent="0.45">
      <c r="B2" s="15" t="s">
        <v>67</v>
      </c>
      <c r="C2" s="15"/>
      <c r="D2" s="15"/>
      <c r="E2" s="15"/>
      <c r="F2" s="15"/>
      <c r="G2" s="15"/>
    </row>
    <row r="3" spans="2:15" ht="18.399999999999999" x14ac:dyDescent="0.45">
      <c r="B3" s="15" t="s">
        <v>68</v>
      </c>
      <c r="C3" s="15"/>
      <c r="D3" s="15"/>
      <c r="E3" s="15"/>
      <c r="F3" s="15"/>
      <c r="G3" s="15"/>
    </row>
    <row r="4" spans="2:15" ht="6" customHeight="1" thickBot="1" x14ac:dyDescent="0.4">
      <c r="B4" s="28"/>
      <c r="C4" s="28"/>
      <c r="D4" s="28"/>
      <c r="E4" s="28"/>
      <c r="F4" s="28"/>
      <c r="G4" s="28"/>
    </row>
    <row r="5" spans="2:15" ht="6" customHeight="1" thickTop="1" x14ac:dyDescent="0.35"/>
    <row r="6" spans="2:15" ht="14.65" x14ac:dyDescent="0.35">
      <c r="B6" s="77" t="s">
        <v>69</v>
      </c>
      <c r="C6" s="9">
        <v>2008</v>
      </c>
      <c r="D6" s="9">
        <v>2009</v>
      </c>
      <c r="E6" s="9">
        <v>2010</v>
      </c>
      <c r="F6" s="9">
        <v>2011</v>
      </c>
      <c r="G6" s="9" t="s">
        <v>70</v>
      </c>
    </row>
    <row r="7" spans="2:15" ht="6" customHeight="1" x14ac:dyDescent="0.35"/>
    <row r="8" spans="2:15" ht="14.65" x14ac:dyDescent="0.35">
      <c r="B8" t="s">
        <v>1</v>
      </c>
      <c r="C8" s="29">
        <v>77009</v>
      </c>
      <c r="D8" s="29">
        <v>85120</v>
      </c>
      <c r="E8" s="29">
        <v>95536</v>
      </c>
      <c r="F8" s="29">
        <v>103247</v>
      </c>
      <c r="G8" s="29">
        <v>105206</v>
      </c>
      <c r="H8" s="24"/>
      <c r="I8" s="24"/>
      <c r="J8" s="24"/>
      <c r="K8" s="24"/>
      <c r="L8" s="24"/>
      <c r="M8" s="24"/>
      <c r="N8" s="24"/>
      <c r="O8" s="24"/>
    </row>
    <row r="9" spans="2:15" ht="14.65" x14ac:dyDescent="0.35">
      <c r="B9" t="s">
        <v>4</v>
      </c>
      <c r="C9" s="29">
        <v>72056</v>
      </c>
      <c r="D9" s="29">
        <v>85445</v>
      </c>
      <c r="E9" s="29">
        <v>87535</v>
      </c>
      <c r="F9" s="29">
        <v>92167</v>
      </c>
      <c r="G9" s="29">
        <v>94154</v>
      </c>
      <c r="H9" s="24"/>
      <c r="I9" s="24"/>
      <c r="J9" s="24"/>
      <c r="K9" s="24"/>
      <c r="L9" s="24"/>
      <c r="M9" s="24"/>
      <c r="N9" s="24"/>
      <c r="O9" s="24"/>
    </row>
    <row r="10" spans="2:15" ht="14.65" x14ac:dyDescent="0.35">
      <c r="B10" t="s">
        <v>71</v>
      </c>
      <c r="C10" s="29">
        <v>48338</v>
      </c>
      <c r="D10" s="29">
        <v>48133</v>
      </c>
      <c r="E10" s="29">
        <v>49910</v>
      </c>
      <c r="F10" s="29">
        <v>55021</v>
      </c>
      <c r="G10" s="29">
        <v>56386</v>
      </c>
      <c r="H10" s="24"/>
      <c r="I10" s="24"/>
      <c r="J10" s="24"/>
      <c r="K10" s="24"/>
      <c r="L10" s="24"/>
      <c r="M10" s="24"/>
      <c r="N10" s="24"/>
      <c r="O10" s="24"/>
    </row>
    <row r="11" spans="2:15" ht="14.65" x14ac:dyDescent="0.35">
      <c r="B11" t="s">
        <v>3</v>
      </c>
      <c r="C11" s="29">
        <v>32758</v>
      </c>
      <c r="D11" s="29">
        <v>33790</v>
      </c>
      <c r="E11" s="29">
        <v>33734</v>
      </c>
      <c r="F11" s="29">
        <v>33185</v>
      </c>
      <c r="G11" s="29">
        <v>33168</v>
      </c>
      <c r="H11" s="24"/>
      <c r="I11" s="24"/>
      <c r="J11" s="24"/>
      <c r="K11" s="24"/>
      <c r="L11" s="24"/>
      <c r="M11" s="24"/>
      <c r="N11" s="24"/>
      <c r="O11" s="24"/>
    </row>
    <row r="12" spans="2:15" ht="14.65" x14ac:dyDescent="0.35">
      <c r="B12" t="s">
        <v>8</v>
      </c>
      <c r="C12" s="29">
        <v>475</v>
      </c>
      <c r="D12" s="29">
        <v>688</v>
      </c>
      <c r="E12" s="29">
        <v>4345</v>
      </c>
      <c r="F12" s="29">
        <v>10415</v>
      </c>
      <c r="G12" s="29">
        <v>10957</v>
      </c>
    </row>
    <row r="13" spans="2:15" ht="14.65" x14ac:dyDescent="0.35">
      <c r="B13" t="s">
        <v>55</v>
      </c>
      <c r="C13" s="29">
        <v>5367</v>
      </c>
      <c r="D13" s="29">
        <v>6640</v>
      </c>
      <c r="E13" s="29">
        <v>8155</v>
      </c>
      <c r="F13" s="29">
        <v>9347</v>
      </c>
      <c r="G13" s="29">
        <v>9292</v>
      </c>
      <c r="H13" s="24"/>
    </row>
    <row r="14" spans="2:15" ht="14.65" x14ac:dyDescent="0.35">
      <c r="B14" t="s">
        <v>10</v>
      </c>
      <c r="C14" s="29">
        <v>3845</v>
      </c>
      <c r="D14" s="29">
        <v>4954</v>
      </c>
      <c r="E14" s="29">
        <v>5518</v>
      </c>
      <c r="F14" s="29">
        <v>5934</v>
      </c>
      <c r="G14" s="29">
        <v>5903</v>
      </c>
      <c r="H14" s="24"/>
      <c r="I14" s="24"/>
      <c r="L14" s="24"/>
    </row>
    <row r="15" spans="2:15" ht="14.65" x14ac:dyDescent="0.35">
      <c r="B15" t="s">
        <v>11</v>
      </c>
      <c r="C15" s="29">
        <v>6196</v>
      </c>
      <c r="D15" s="29">
        <v>6141</v>
      </c>
      <c r="E15" s="29">
        <v>6072</v>
      </c>
      <c r="F15" s="29">
        <v>5891</v>
      </c>
      <c r="G15" s="29">
        <v>5799</v>
      </c>
      <c r="H15" s="24"/>
      <c r="I15" s="24"/>
      <c r="J15" s="24"/>
      <c r="K15" s="24"/>
      <c r="L15" s="24"/>
      <c r="M15" s="24"/>
      <c r="N15" s="24"/>
      <c r="O15" s="24"/>
    </row>
    <row r="16" spans="2:15" x14ac:dyDescent="0.35">
      <c r="B16" t="s">
        <v>58</v>
      </c>
      <c r="C16" s="12" t="s">
        <v>72</v>
      </c>
      <c r="D16" s="12" t="s">
        <v>72</v>
      </c>
      <c r="E16" s="12" t="s">
        <v>73</v>
      </c>
      <c r="F16" s="12" t="s">
        <v>74</v>
      </c>
      <c r="G16" s="12" t="s">
        <v>74</v>
      </c>
    </row>
    <row r="17" spans="2:7" ht="14.65" x14ac:dyDescent="0.35">
      <c r="B17" t="s">
        <v>12</v>
      </c>
      <c r="C17" s="12" t="s">
        <v>73</v>
      </c>
      <c r="D17" s="12" t="s">
        <v>73</v>
      </c>
      <c r="E17" s="12">
        <v>718</v>
      </c>
      <c r="F17" s="12">
        <v>582</v>
      </c>
      <c r="G17" s="12">
        <v>584</v>
      </c>
    </row>
    <row r="18" spans="2:7" ht="14.65" x14ac:dyDescent="0.35">
      <c r="B18" t="s">
        <v>13</v>
      </c>
      <c r="C18" s="29">
        <v>551</v>
      </c>
      <c r="D18" s="29">
        <v>533</v>
      </c>
      <c r="E18" s="29">
        <v>509</v>
      </c>
      <c r="F18" s="29">
        <v>459</v>
      </c>
      <c r="G18" s="29">
        <v>430</v>
      </c>
    </row>
    <row r="19" spans="2:7" ht="14.65" x14ac:dyDescent="0.35">
      <c r="B19" t="s">
        <v>14</v>
      </c>
      <c r="C19" s="29">
        <v>435</v>
      </c>
      <c r="D19" s="29">
        <v>439</v>
      </c>
      <c r="E19" s="29">
        <v>438</v>
      </c>
      <c r="F19" s="29">
        <v>415</v>
      </c>
      <c r="G19" s="29">
        <v>425</v>
      </c>
    </row>
    <row r="20" spans="2:7" ht="6" customHeight="1" thickBot="1" x14ac:dyDescent="0.4">
      <c r="B20" s="4"/>
      <c r="C20" s="4"/>
      <c r="D20" s="4"/>
      <c r="E20" s="4"/>
      <c r="F20" s="4"/>
      <c r="G20" s="4"/>
    </row>
    <row r="21" spans="2:7" ht="6" customHeight="1" thickTop="1" x14ac:dyDescent="0.35"/>
    <row r="22" spans="2:7" ht="61.5" customHeight="1" x14ac:dyDescent="0.25">
      <c r="B22" s="151" t="s">
        <v>104</v>
      </c>
      <c r="C22" s="151"/>
      <c r="D22" s="151"/>
      <c r="E22" s="151"/>
      <c r="F22" s="151"/>
      <c r="G22" s="151"/>
    </row>
  </sheetData>
  <mergeCells count="1">
    <mergeCell ref="B22:G22"/>
  </mergeCells>
  <printOptions horizontalCentered="1"/>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A6" zoomScaleNormal="100" zoomScaleSheetLayoutView="100" workbookViewId="0">
      <selection activeCell="B30" sqref="B30:F30"/>
    </sheetView>
  </sheetViews>
  <sheetFormatPr defaultRowHeight="14.5" outlineLevelRow="1" x14ac:dyDescent="0.35"/>
  <cols>
    <col min="1" max="1" width="12.7265625" style="81" customWidth="1"/>
    <col min="2" max="2" width="29.1796875" customWidth="1"/>
    <col min="3" max="3" width="10.7265625" customWidth="1"/>
    <col min="4" max="4" width="11.26953125" customWidth="1"/>
    <col min="5" max="5" width="11" customWidth="1"/>
    <col min="6" max="6" width="10.81640625" customWidth="1"/>
  </cols>
  <sheetData>
    <row r="1" spans="2:7" ht="14.65" hidden="1" outlineLevel="1" x14ac:dyDescent="0.35">
      <c r="C1">
        <v>2012</v>
      </c>
      <c r="D1">
        <v>2013</v>
      </c>
      <c r="E1">
        <v>2014</v>
      </c>
      <c r="F1">
        <v>2015</v>
      </c>
    </row>
    <row r="2" spans="2:7" ht="14.65" hidden="1" outlineLevel="1" x14ac:dyDescent="0.35">
      <c r="B2" t="s">
        <v>55</v>
      </c>
      <c r="C2" t="s">
        <v>75</v>
      </c>
      <c r="D2" t="s">
        <v>75</v>
      </c>
      <c r="E2" t="s">
        <v>75</v>
      </c>
      <c r="F2" t="s">
        <v>75</v>
      </c>
    </row>
    <row r="3" spans="2:7" ht="14.65" hidden="1" outlineLevel="1" x14ac:dyDescent="0.35">
      <c r="B3" t="s">
        <v>8</v>
      </c>
      <c r="C3" t="s">
        <v>75</v>
      </c>
      <c r="D3" t="s">
        <v>75</v>
      </c>
      <c r="E3" t="s">
        <v>75</v>
      </c>
      <c r="F3" t="s">
        <v>75</v>
      </c>
    </row>
    <row r="4" spans="2:7" ht="14.65" hidden="1" outlineLevel="1" x14ac:dyDescent="0.35">
      <c r="B4" s="18" t="s">
        <v>58</v>
      </c>
      <c r="C4" t="s">
        <v>75</v>
      </c>
      <c r="D4" t="s">
        <v>75</v>
      </c>
      <c r="E4" t="s">
        <v>75</v>
      </c>
      <c r="F4" t="s">
        <v>75</v>
      </c>
    </row>
    <row r="5" spans="2:7" ht="14.65" hidden="1" outlineLevel="1" x14ac:dyDescent="0.35">
      <c r="B5" s="18" t="s">
        <v>12</v>
      </c>
      <c r="C5" t="s">
        <v>75</v>
      </c>
      <c r="D5" t="s">
        <v>75</v>
      </c>
      <c r="F5" t="s">
        <v>75</v>
      </c>
    </row>
    <row r="6" spans="2:7" s="81" customFormat="1" ht="14.65" collapsed="1" x14ac:dyDescent="0.35">
      <c r="B6" s="78"/>
      <c r="C6" s="79"/>
      <c r="D6" s="79"/>
      <c r="E6" s="79"/>
      <c r="F6" s="79"/>
      <c r="G6" s="80"/>
    </row>
    <row r="7" spans="2:7" ht="60" customHeight="1" x14ac:dyDescent="0.35">
      <c r="B7" s="82" t="s">
        <v>76</v>
      </c>
      <c r="C7" s="83"/>
      <c r="D7" s="83"/>
      <c r="E7" s="83"/>
      <c r="F7" s="83"/>
      <c r="G7" s="84"/>
    </row>
    <row r="8" spans="2:7" ht="6" customHeight="1" thickBot="1" x14ac:dyDescent="0.4">
      <c r="B8" s="85"/>
      <c r="C8" s="86"/>
      <c r="D8" s="86"/>
      <c r="E8" s="86"/>
      <c r="F8" s="86"/>
      <c r="G8" s="87"/>
    </row>
    <row r="9" spans="2:7" ht="6" customHeight="1" thickTop="1" x14ac:dyDescent="0.25">
      <c r="B9" s="83"/>
      <c r="C9" s="88"/>
      <c r="D9" s="88"/>
      <c r="E9" s="88"/>
      <c r="F9" s="88"/>
      <c r="G9" s="87"/>
    </row>
    <row r="10" spans="2:7" ht="15" x14ac:dyDescent="0.25">
      <c r="B10" s="138" t="s">
        <v>77</v>
      </c>
      <c r="C10" s="139" t="s">
        <v>78</v>
      </c>
      <c r="D10" s="139" t="s">
        <v>79</v>
      </c>
      <c r="E10" s="139" t="s">
        <v>80</v>
      </c>
      <c r="F10" s="139" t="s">
        <v>81</v>
      </c>
      <c r="G10" s="89"/>
    </row>
    <row r="11" spans="2:7" ht="6" customHeight="1" x14ac:dyDescent="0.25">
      <c r="B11" s="90"/>
      <c r="C11" s="11"/>
      <c r="D11" s="11"/>
      <c r="E11" s="11"/>
      <c r="F11" s="11"/>
      <c r="G11" s="89"/>
    </row>
    <row r="12" spans="2:7" ht="15" x14ac:dyDescent="0.25">
      <c r="B12" s="91" t="s">
        <v>4</v>
      </c>
      <c r="C12" s="137">
        <v>116570</v>
      </c>
      <c r="D12" s="137">
        <v>125535</v>
      </c>
      <c r="E12" s="137">
        <v>134612</v>
      </c>
      <c r="F12" s="137">
        <v>140924</v>
      </c>
      <c r="G12" s="92"/>
    </row>
    <row r="13" spans="2:7" ht="15" x14ac:dyDescent="0.25">
      <c r="B13" s="91" t="s">
        <v>1</v>
      </c>
      <c r="C13" s="93">
        <v>106965</v>
      </c>
      <c r="D13" s="93">
        <v>110276</v>
      </c>
      <c r="E13" s="93">
        <v>120620</v>
      </c>
      <c r="F13" s="93">
        <v>128679</v>
      </c>
      <c r="G13" s="94"/>
    </row>
    <row r="14" spans="2:7" ht="15" x14ac:dyDescent="0.25">
      <c r="B14" s="91" t="s">
        <v>3</v>
      </c>
      <c r="C14" s="93">
        <v>30299</v>
      </c>
      <c r="D14" s="93">
        <v>46684</v>
      </c>
      <c r="E14" s="93">
        <v>55018</v>
      </c>
      <c r="F14" s="93">
        <v>63282</v>
      </c>
      <c r="G14" s="94"/>
    </row>
    <row r="15" spans="2:7" ht="15" x14ac:dyDescent="0.25">
      <c r="B15" s="95" t="s">
        <v>2</v>
      </c>
      <c r="C15" s="96">
        <v>55626</v>
      </c>
      <c r="D15" s="96">
        <v>54622</v>
      </c>
      <c r="E15" s="96">
        <v>55929</v>
      </c>
      <c r="F15" s="96">
        <v>58578</v>
      </c>
      <c r="G15" s="97"/>
    </row>
    <row r="16" spans="2:7" ht="30" customHeight="1" x14ac:dyDescent="0.25">
      <c r="B16" s="95" t="s">
        <v>82</v>
      </c>
      <c r="C16" s="96">
        <v>309460</v>
      </c>
      <c r="D16" s="96">
        <v>337117</v>
      </c>
      <c r="E16" s="96">
        <v>366179</v>
      </c>
      <c r="F16" s="96">
        <v>391463</v>
      </c>
      <c r="G16" s="97"/>
    </row>
    <row r="17" spans="2:7" ht="6" customHeight="1" x14ac:dyDescent="0.25">
      <c r="B17" s="95"/>
      <c r="C17" s="96"/>
      <c r="D17" s="96"/>
      <c r="E17" s="96"/>
      <c r="F17" s="96"/>
      <c r="G17" s="97"/>
    </row>
    <row r="18" spans="2:7" ht="15" x14ac:dyDescent="0.25">
      <c r="B18" s="140" t="s">
        <v>83</v>
      </c>
      <c r="C18" s="141" t="s">
        <v>78</v>
      </c>
      <c r="D18" s="141" t="s">
        <v>79</v>
      </c>
      <c r="E18" s="141" t="s">
        <v>80</v>
      </c>
      <c r="F18" s="141" t="s">
        <v>81</v>
      </c>
      <c r="G18" s="97"/>
    </row>
    <row r="19" spans="2:7" ht="15" customHeight="1" x14ac:dyDescent="0.25">
      <c r="B19" s="95" t="s">
        <v>11</v>
      </c>
      <c r="C19" s="100">
        <v>5798</v>
      </c>
      <c r="D19" s="100">
        <v>4774</v>
      </c>
      <c r="E19" s="100">
        <v>4760</v>
      </c>
      <c r="F19" s="100">
        <v>4876</v>
      </c>
      <c r="G19" s="97"/>
    </row>
    <row r="20" spans="2:7" ht="15" customHeight="1" x14ac:dyDescent="0.25">
      <c r="B20" s="95" t="s">
        <v>55</v>
      </c>
      <c r="C20" s="100">
        <v>8887</v>
      </c>
      <c r="D20" s="100" t="s">
        <v>9</v>
      </c>
      <c r="E20" s="100" t="s">
        <v>9</v>
      </c>
      <c r="F20" s="100" t="s">
        <v>9</v>
      </c>
      <c r="G20" s="101"/>
    </row>
    <row r="21" spans="2:7" ht="15" customHeight="1" x14ac:dyDescent="0.25">
      <c r="B21" s="95" t="s">
        <v>56</v>
      </c>
      <c r="C21" s="100">
        <v>5297</v>
      </c>
      <c r="D21" s="100">
        <v>4551</v>
      </c>
      <c r="E21" s="100" t="s">
        <v>9</v>
      </c>
      <c r="F21" s="100" t="s">
        <v>9</v>
      </c>
      <c r="G21" s="101"/>
    </row>
    <row r="22" spans="2:7" ht="15" customHeight="1" x14ac:dyDescent="0.25">
      <c r="B22" s="91" t="s">
        <v>14</v>
      </c>
      <c r="C22" s="102">
        <v>440</v>
      </c>
      <c r="D22" s="102">
        <v>465</v>
      </c>
      <c r="E22" s="102">
        <v>449</v>
      </c>
      <c r="F22" s="102">
        <v>306</v>
      </c>
      <c r="G22" s="94"/>
    </row>
    <row r="23" spans="2:7" ht="15" customHeight="1" x14ac:dyDescent="0.25">
      <c r="B23" s="91" t="s">
        <v>65</v>
      </c>
      <c r="C23" s="102">
        <v>398</v>
      </c>
      <c r="D23" s="102">
        <v>340</v>
      </c>
      <c r="E23" s="102">
        <v>82</v>
      </c>
      <c r="F23" s="102" t="s">
        <v>9</v>
      </c>
      <c r="G23" s="94"/>
    </row>
    <row r="24" spans="2:7" ht="15" customHeight="1" x14ac:dyDescent="0.25">
      <c r="B24" s="95" t="s">
        <v>84</v>
      </c>
      <c r="C24" s="100">
        <v>20820</v>
      </c>
      <c r="D24" s="100">
        <v>10130</v>
      </c>
      <c r="E24" s="100">
        <v>5291</v>
      </c>
      <c r="F24" s="100">
        <v>5182</v>
      </c>
      <c r="G24" s="97"/>
    </row>
    <row r="25" spans="2:7" ht="6" customHeight="1" x14ac:dyDescent="0.25">
      <c r="B25" s="98"/>
      <c r="C25" s="99"/>
      <c r="D25" s="99"/>
      <c r="E25" s="99"/>
      <c r="F25" s="99"/>
      <c r="G25" s="97"/>
    </row>
    <row r="26" spans="2:7" ht="6" customHeight="1" x14ac:dyDescent="0.25">
      <c r="B26" s="95"/>
      <c r="C26" s="100"/>
      <c r="D26" s="100"/>
      <c r="E26" s="100"/>
      <c r="F26" s="100"/>
      <c r="G26" s="97"/>
    </row>
    <row r="27" spans="2:7" ht="15" customHeight="1" x14ac:dyDescent="0.25">
      <c r="B27" s="95" t="s">
        <v>66</v>
      </c>
      <c r="C27" s="100">
        <v>330279</v>
      </c>
      <c r="D27" s="103">
        <v>347247</v>
      </c>
      <c r="E27" s="103">
        <v>371470</v>
      </c>
      <c r="F27" s="103">
        <v>396645</v>
      </c>
      <c r="G27" s="104"/>
    </row>
    <row r="28" spans="2:7" ht="6" customHeight="1" thickBot="1" x14ac:dyDescent="0.3">
      <c r="B28" s="105"/>
      <c r="C28" s="106"/>
      <c r="D28" s="107"/>
      <c r="E28" s="107"/>
      <c r="F28" s="107"/>
      <c r="G28" s="104"/>
    </row>
    <row r="29" spans="2:7" ht="6" customHeight="1" thickTop="1" x14ac:dyDescent="0.35">
      <c r="B29" s="54"/>
      <c r="C29" s="108"/>
      <c r="D29" s="108"/>
      <c r="E29" s="108"/>
      <c r="F29" s="108"/>
      <c r="G29" s="97"/>
    </row>
    <row r="30" spans="2:7" ht="90" customHeight="1" x14ac:dyDescent="0.25">
      <c r="B30" s="151" t="s">
        <v>105</v>
      </c>
      <c r="C30" s="151"/>
      <c r="D30" s="151"/>
      <c r="E30" s="151"/>
      <c r="F30" s="151"/>
      <c r="G30" s="101"/>
    </row>
    <row r="31" spans="2:7" ht="14.65" x14ac:dyDescent="0.35">
      <c r="B31" s="109"/>
      <c r="C31" s="110"/>
      <c r="D31" s="110"/>
      <c r="E31" s="110"/>
      <c r="F31" s="110"/>
      <c r="G31" s="111"/>
    </row>
  </sheetData>
  <mergeCells count="1">
    <mergeCell ref="B30:F30"/>
  </mergeCells>
  <printOptions horizontalCentered="1"/>
  <pageMargins left="0.7" right="0.7" top="0.75" bottom="0.75" header="0.3" footer="0.3"/>
  <pageSetup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view="pageBreakPreview" topLeftCell="A6" zoomScaleNormal="100" zoomScaleSheetLayoutView="100" workbookViewId="0">
      <selection activeCell="A6" sqref="A6"/>
    </sheetView>
  </sheetViews>
  <sheetFormatPr defaultRowHeight="14.5" outlineLevelRow="1" x14ac:dyDescent="0.35"/>
  <cols>
    <col min="2" max="2" width="32.7265625" customWidth="1"/>
    <col min="3" max="3" width="10.54296875" customWidth="1"/>
    <col min="4" max="5" width="12" customWidth="1"/>
    <col min="6" max="6" width="12.1796875" customWidth="1"/>
    <col min="7" max="7" width="15.54296875" customWidth="1"/>
  </cols>
  <sheetData>
    <row r="1" spans="2:8" ht="14.65" hidden="1" outlineLevel="1" x14ac:dyDescent="0.35">
      <c r="C1">
        <v>2013</v>
      </c>
      <c r="D1">
        <v>2014</v>
      </c>
      <c r="E1">
        <v>2015</v>
      </c>
      <c r="F1">
        <v>2016</v>
      </c>
    </row>
    <row r="2" spans="2:8" ht="14.65" hidden="1" outlineLevel="1" x14ac:dyDescent="0.35">
      <c r="B2" t="s">
        <v>55</v>
      </c>
      <c r="C2" t="s">
        <v>75</v>
      </c>
      <c r="D2" t="s">
        <v>75</v>
      </c>
      <c r="E2" t="s">
        <v>75</v>
      </c>
      <c r="F2" t="s">
        <v>75</v>
      </c>
    </row>
    <row r="3" spans="2:8" ht="14.65" hidden="1" outlineLevel="1" x14ac:dyDescent="0.35">
      <c r="B3" t="s">
        <v>8</v>
      </c>
      <c r="C3" t="s">
        <v>75</v>
      </c>
      <c r="D3" t="s">
        <v>75</v>
      </c>
      <c r="E3" t="s">
        <v>75</v>
      </c>
      <c r="F3" t="s">
        <v>75</v>
      </c>
    </row>
    <row r="4" spans="2:8" ht="14.65" hidden="1" outlineLevel="1" x14ac:dyDescent="0.35">
      <c r="B4" s="18" t="s">
        <v>58</v>
      </c>
      <c r="C4" t="s">
        <v>75</v>
      </c>
      <c r="D4" t="s">
        <v>75</v>
      </c>
      <c r="E4" t="s">
        <v>75</v>
      </c>
      <c r="F4" t="s">
        <v>75</v>
      </c>
    </row>
    <row r="5" spans="2:8" ht="14.65" hidden="1" outlineLevel="1" x14ac:dyDescent="0.35">
      <c r="B5" s="18" t="s">
        <v>12</v>
      </c>
      <c r="C5" t="s">
        <v>75</v>
      </c>
      <c r="D5" t="s">
        <v>75</v>
      </c>
      <c r="E5" t="s">
        <v>75</v>
      </c>
      <c r="F5" t="s">
        <v>75</v>
      </c>
    </row>
    <row r="6" spans="2:8" ht="14.65" collapsed="1" x14ac:dyDescent="0.35"/>
    <row r="7" spans="2:8" ht="37" x14ac:dyDescent="0.35">
      <c r="B7" s="83" t="s">
        <v>85</v>
      </c>
      <c r="C7" s="88"/>
      <c r="D7" s="88"/>
      <c r="E7" s="88"/>
      <c r="F7" s="88"/>
      <c r="G7" s="88"/>
      <c r="H7" s="92"/>
    </row>
    <row r="8" spans="2:8" ht="6" customHeight="1" thickBot="1" x14ac:dyDescent="0.4">
      <c r="B8" s="4"/>
      <c r="C8" s="112"/>
      <c r="D8" s="112"/>
      <c r="E8" s="112"/>
      <c r="F8" s="112"/>
      <c r="G8" s="112"/>
      <c r="H8" s="92"/>
    </row>
    <row r="9" spans="2:8" ht="6" customHeight="1" thickTop="1" x14ac:dyDescent="0.35">
      <c r="B9" s="113"/>
      <c r="C9" s="92"/>
      <c r="D9" s="92"/>
      <c r="E9" s="92"/>
      <c r="F9" s="92"/>
      <c r="G9" s="92"/>
      <c r="H9" s="92"/>
    </row>
    <row r="10" spans="2:8" ht="15" customHeight="1" x14ac:dyDescent="0.25">
      <c r="B10" s="140" t="s">
        <v>77</v>
      </c>
      <c r="C10" s="144" t="s">
        <v>79</v>
      </c>
      <c r="D10" s="144" t="s">
        <v>80</v>
      </c>
      <c r="E10" s="144" t="s">
        <v>81</v>
      </c>
      <c r="F10" s="144" t="s">
        <v>86</v>
      </c>
      <c r="G10" s="144" t="s">
        <v>87</v>
      </c>
      <c r="H10" s="92"/>
    </row>
    <row r="11" spans="2:8" ht="6" customHeight="1" x14ac:dyDescent="0.35">
      <c r="B11" s="109"/>
      <c r="C11" s="94"/>
      <c r="D11" s="94"/>
      <c r="E11" s="94"/>
      <c r="F11" s="94"/>
      <c r="G11" s="94"/>
      <c r="H11" s="92"/>
    </row>
    <row r="12" spans="2:8" ht="14.65" x14ac:dyDescent="0.35">
      <c r="B12" s="54" t="s">
        <v>4</v>
      </c>
      <c r="C12" s="100">
        <v>125535</v>
      </c>
      <c r="D12" s="100">
        <v>134612</v>
      </c>
      <c r="E12" s="100">
        <v>140924</v>
      </c>
      <c r="F12" s="100">
        <v>145859</v>
      </c>
      <c r="G12" s="114">
        <v>35</v>
      </c>
      <c r="H12" s="92"/>
    </row>
    <row r="13" spans="2:8" ht="14.65" x14ac:dyDescent="0.35">
      <c r="B13" s="54" t="s">
        <v>1</v>
      </c>
      <c r="C13" s="100">
        <v>110276</v>
      </c>
      <c r="D13" s="100">
        <v>120620</v>
      </c>
      <c r="E13" s="100">
        <v>128679</v>
      </c>
      <c r="F13" s="100">
        <v>134875</v>
      </c>
      <c r="G13" s="114">
        <v>32.4</v>
      </c>
      <c r="H13" s="92"/>
    </row>
    <row r="14" spans="2:8" ht="14.65" x14ac:dyDescent="0.35">
      <c r="B14" s="54" t="s">
        <v>3</v>
      </c>
      <c r="C14" s="100">
        <v>46684</v>
      </c>
      <c r="D14" s="100">
        <v>55018</v>
      </c>
      <c r="E14" s="100">
        <v>63282</v>
      </c>
      <c r="F14" s="100">
        <v>71455</v>
      </c>
      <c r="G14" s="114">
        <v>17.100000000000001</v>
      </c>
      <c r="H14" s="92"/>
    </row>
    <row r="15" spans="2:8" ht="14.65" x14ac:dyDescent="0.35">
      <c r="B15" s="54" t="s">
        <v>2</v>
      </c>
      <c r="C15" s="100">
        <v>54622</v>
      </c>
      <c r="D15" s="100">
        <v>55929</v>
      </c>
      <c r="E15" s="100">
        <v>58578</v>
      </c>
      <c r="F15" s="100">
        <v>59515</v>
      </c>
      <c r="G15" s="114">
        <v>14.3</v>
      </c>
      <c r="H15" s="92"/>
    </row>
    <row r="16" spans="2:8" ht="14.65" x14ac:dyDescent="0.35">
      <c r="B16" s="54" t="s">
        <v>82</v>
      </c>
      <c r="C16" s="100">
        <v>337117</v>
      </c>
      <c r="D16" s="100">
        <v>366179</v>
      </c>
      <c r="E16" s="100">
        <v>391463</v>
      </c>
      <c r="F16" s="100">
        <v>411704</v>
      </c>
      <c r="G16" s="115"/>
      <c r="H16" s="92"/>
    </row>
    <row r="17" spans="2:8" ht="6" customHeight="1" x14ac:dyDescent="0.35">
      <c r="B17" s="54"/>
      <c r="C17" s="100"/>
      <c r="D17" s="100"/>
      <c r="E17" s="100"/>
      <c r="F17" s="100"/>
      <c r="G17" s="115"/>
      <c r="H17" s="92"/>
    </row>
    <row r="18" spans="2:8" ht="15" customHeight="1" x14ac:dyDescent="0.25">
      <c r="B18" s="140" t="s">
        <v>83</v>
      </c>
      <c r="C18" s="144" t="s">
        <v>79</v>
      </c>
      <c r="D18" s="144" t="s">
        <v>80</v>
      </c>
      <c r="E18" s="144" t="s">
        <v>81</v>
      </c>
      <c r="F18" s="144" t="s">
        <v>86</v>
      </c>
      <c r="G18" s="144" t="s">
        <v>87</v>
      </c>
      <c r="H18" s="92"/>
    </row>
    <row r="19" spans="2:8" ht="6" customHeight="1" x14ac:dyDescent="0.35">
      <c r="B19" s="109"/>
      <c r="C19" s="102"/>
      <c r="D19" s="102"/>
      <c r="E19" s="102"/>
      <c r="F19" s="102"/>
      <c r="G19" s="102"/>
      <c r="H19" s="92"/>
    </row>
    <row r="20" spans="2:8" ht="14.65" x14ac:dyDescent="0.35">
      <c r="B20" s="54" t="s">
        <v>11</v>
      </c>
      <c r="C20" s="100">
        <v>4774</v>
      </c>
      <c r="D20" s="100">
        <v>4760</v>
      </c>
      <c r="E20" s="100">
        <v>4876</v>
      </c>
      <c r="F20" s="100">
        <v>5079</v>
      </c>
      <c r="G20" s="114">
        <v>1.2</v>
      </c>
      <c r="H20" s="92"/>
    </row>
    <row r="21" spans="2:8" ht="14.65" x14ac:dyDescent="0.35">
      <c r="B21" s="54" t="s">
        <v>56</v>
      </c>
      <c r="C21" s="100">
        <v>4551</v>
      </c>
      <c r="D21" s="103" t="s">
        <v>9</v>
      </c>
      <c r="E21" s="103" t="s">
        <v>9</v>
      </c>
      <c r="F21" s="103" t="s">
        <v>9</v>
      </c>
      <c r="G21" s="103" t="s">
        <v>9</v>
      </c>
      <c r="H21" s="92"/>
    </row>
    <row r="22" spans="2:8" ht="14.65" x14ac:dyDescent="0.35">
      <c r="B22" s="54" t="s">
        <v>14</v>
      </c>
      <c r="C22" s="116">
        <v>465</v>
      </c>
      <c r="D22" s="116">
        <v>449</v>
      </c>
      <c r="E22" s="116">
        <v>306</v>
      </c>
      <c r="F22" s="103" t="s">
        <v>9</v>
      </c>
      <c r="G22" s="103" t="s">
        <v>9</v>
      </c>
      <c r="H22" s="92"/>
    </row>
    <row r="23" spans="2:8" ht="14.65" x14ac:dyDescent="0.35">
      <c r="B23" s="54" t="s">
        <v>65</v>
      </c>
      <c r="C23" s="116">
        <v>340</v>
      </c>
      <c r="D23" s="116">
        <v>82</v>
      </c>
      <c r="E23" s="103" t="s">
        <v>9</v>
      </c>
      <c r="F23" s="103" t="s">
        <v>9</v>
      </c>
      <c r="G23" s="103" t="s">
        <v>9</v>
      </c>
      <c r="H23" s="92"/>
    </row>
    <row r="24" spans="2:8" ht="15" x14ac:dyDescent="0.25">
      <c r="B24" s="54" t="s">
        <v>84</v>
      </c>
      <c r="C24" s="100">
        <v>10130</v>
      </c>
      <c r="D24" s="100">
        <v>5291</v>
      </c>
      <c r="E24" s="100">
        <v>5182</v>
      </c>
      <c r="F24" s="100">
        <v>5079</v>
      </c>
      <c r="G24" s="114">
        <v>1.2</v>
      </c>
      <c r="H24" s="92"/>
    </row>
    <row r="25" spans="2:8" ht="6" customHeight="1" x14ac:dyDescent="0.25">
      <c r="B25" s="142"/>
      <c r="C25" s="99"/>
      <c r="D25" s="99"/>
      <c r="E25" s="99"/>
      <c r="F25" s="99"/>
      <c r="G25" s="143"/>
      <c r="H25" s="92"/>
    </row>
    <row r="26" spans="2:8" ht="6" customHeight="1" x14ac:dyDescent="0.25">
      <c r="B26" s="123"/>
      <c r="C26" s="100"/>
      <c r="D26" s="100"/>
      <c r="E26" s="100"/>
      <c r="F26" s="100"/>
      <c r="G26" s="114"/>
      <c r="H26" s="92"/>
    </row>
    <row r="27" spans="2:8" ht="15" x14ac:dyDescent="0.25">
      <c r="B27" s="54" t="s">
        <v>66</v>
      </c>
      <c r="C27" s="100">
        <v>347247</v>
      </c>
      <c r="D27" s="100">
        <v>371470</v>
      </c>
      <c r="E27" s="100">
        <v>396645</v>
      </c>
      <c r="F27" s="100">
        <v>416783</v>
      </c>
      <c r="G27" s="115"/>
      <c r="H27" s="92"/>
    </row>
    <row r="28" spans="2:8" ht="6" customHeight="1" thickBot="1" x14ac:dyDescent="0.4">
      <c r="B28" s="105"/>
      <c r="C28" s="117"/>
      <c r="D28" s="117"/>
      <c r="E28" s="117"/>
      <c r="F28" s="117"/>
      <c r="G28" s="118"/>
      <c r="H28" s="92"/>
    </row>
    <row r="29" spans="2:8" ht="6" customHeight="1" thickTop="1" x14ac:dyDescent="0.35">
      <c r="B29" s="54"/>
      <c r="C29" s="119"/>
      <c r="D29" s="119"/>
      <c r="E29" s="119"/>
      <c r="F29" s="119"/>
      <c r="G29" s="120"/>
      <c r="H29" s="92"/>
    </row>
    <row r="30" spans="2:8" ht="73.5" customHeight="1" x14ac:dyDescent="0.25">
      <c r="B30" s="147" t="s">
        <v>106</v>
      </c>
      <c r="C30" s="147"/>
      <c r="D30" s="147"/>
      <c r="E30" s="147"/>
      <c r="F30" s="147"/>
      <c r="G30" s="147"/>
    </row>
    <row r="31" spans="2:8" ht="15" customHeight="1" x14ac:dyDescent="0.35"/>
  </sheetData>
  <mergeCells count="1">
    <mergeCell ref="B30:G30"/>
  </mergeCells>
  <printOptions horizontalCentered="1"/>
  <pageMargins left="0.7" right="0.7" top="0.75" bottom="0.75" header="0.3" footer="0.3"/>
  <pageSetup scale="91"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tabSelected="1" topLeftCell="A2" zoomScaleNormal="100" zoomScaleSheetLayoutView="100" workbookViewId="0">
      <selection activeCell="D20" sqref="D20"/>
    </sheetView>
  </sheetViews>
  <sheetFormatPr defaultRowHeight="14.5" outlineLevelRow="1" outlineLevelCol="2" x14ac:dyDescent="0.35"/>
  <cols>
    <col min="1" max="1" width="8.7265625" style="18" customWidth="1" outlineLevel="1"/>
    <col min="2" max="2" width="8.7265625" style="18" customWidth="1" outlineLevel="2"/>
    <col min="3" max="3" width="9.26953125"/>
    <col min="4" max="4" width="16.54296875" customWidth="1"/>
    <col min="5" max="5" width="13" customWidth="1"/>
    <col min="6" max="6" width="16.1796875" customWidth="1"/>
    <col min="7" max="7" width="14.1796875" customWidth="1"/>
    <col min="8" max="8" width="16.54296875" customWidth="1"/>
    <col min="9" max="9" width="16.453125" customWidth="1"/>
    <col min="10" max="10" width="10.7265625" customWidth="1"/>
    <col min="11" max="11" width="15.54296875" customWidth="1"/>
  </cols>
  <sheetData>
    <row r="1" spans="1:11" s="18" customFormat="1" ht="75" outlineLevel="1" x14ac:dyDescent="0.25">
      <c r="D1" s="124">
        <v>1000000</v>
      </c>
      <c r="E1" s="18">
        <v>2016</v>
      </c>
      <c r="H1" s="125" t="s">
        <v>35</v>
      </c>
      <c r="I1" s="125" t="s">
        <v>34</v>
      </c>
    </row>
    <row r="2" spans="1:11" s="18" customFormat="1" ht="15" outlineLevel="1" x14ac:dyDescent="0.25">
      <c r="D2" s="18">
        <v>65</v>
      </c>
      <c r="E2" s="18">
        <f>MAX($D$2:D2)+1</f>
        <v>66</v>
      </c>
      <c r="F2" s="18">
        <f>MAX($D$2:E2)+1</f>
        <v>67</v>
      </c>
      <c r="G2" s="18">
        <f>MAX($D$2:F2)+1</f>
        <v>68</v>
      </c>
      <c r="H2" s="18">
        <f>MAX($D$2:G2)+1</f>
        <v>69</v>
      </c>
      <c r="I2" s="18">
        <f>MAX($D$2:H2)+1</f>
        <v>70</v>
      </c>
      <c r="J2" s="18">
        <f>MAX($D$2:I2)+1</f>
        <v>71</v>
      </c>
      <c r="K2" s="18">
        <f>MAX($D$2:J2)+1</f>
        <v>72</v>
      </c>
    </row>
    <row r="3" spans="1:11" s="34" customFormat="1" ht="15" x14ac:dyDescent="0.25">
      <c r="A3" s="18"/>
      <c r="B3" s="18"/>
    </row>
    <row r="4" spans="1:11" ht="18.399999999999999" x14ac:dyDescent="0.45">
      <c r="D4" s="15" t="s">
        <v>48</v>
      </c>
      <c r="E4" s="15"/>
      <c r="F4" s="15"/>
      <c r="G4" s="15"/>
      <c r="H4" s="15"/>
      <c r="I4" s="15"/>
      <c r="J4" s="15"/>
      <c r="K4" s="15"/>
    </row>
    <row r="5" spans="1:11" ht="6" customHeight="1" thickBot="1" x14ac:dyDescent="0.4">
      <c r="D5" s="4"/>
      <c r="E5" s="4"/>
      <c r="F5" s="28"/>
      <c r="G5" s="28"/>
      <c r="H5" s="4"/>
      <c r="I5" s="4"/>
      <c r="J5" s="4"/>
      <c r="K5" s="4"/>
    </row>
    <row r="6" spans="1:11" ht="6" customHeight="1" thickTop="1" x14ac:dyDescent="0.35">
      <c r="F6" s="16"/>
      <c r="G6" s="16"/>
    </row>
    <row r="7" spans="1:11" ht="46.5" customHeight="1" x14ac:dyDescent="0.35">
      <c r="D7" s="10" t="s">
        <v>0</v>
      </c>
      <c r="E7" s="6" t="s">
        <v>37</v>
      </c>
      <c r="F7" s="6" t="s">
        <v>88</v>
      </c>
      <c r="G7" s="6" t="s">
        <v>89</v>
      </c>
      <c r="H7" s="6" t="s">
        <v>90</v>
      </c>
      <c r="I7" s="6" t="s">
        <v>91</v>
      </c>
      <c r="J7" s="6" t="s">
        <v>32</v>
      </c>
      <c r="K7" s="6" t="s">
        <v>36</v>
      </c>
    </row>
    <row r="8" spans="1:11" ht="15" customHeight="1" x14ac:dyDescent="0.35">
      <c r="D8" s="31" t="str">
        <f>"["&amp;CHAR(D2)&amp;"]"</f>
        <v>[A]</v>
      </c>
      <c r="E8" s="32" t="str">
        <f t="shared" ref="E8:K8" si="0">"["&amp;CHAR(E2)&amp;"]"</f>
        <v>[B]</v>
      </c>
      <c r="F8" s="32" t="str">
        <f t="shared" si="0"/>
        <v>[C]</v>
      </c>
      <c r="G8" s="32" t="str">
        <f t="shared" si="0"/>
        <v>[D]</v>
      </c>
      <c r="H8" s="32" t="str">
        <f t="shared" si="0"/>
        <v>[E]</v>
      </c>
      <c r="I8" s="32" t="str">
        <f t="shared" si="0"/>
        <v>[F]</v>
      </c>
      <c r="J8" s="32" t="str">
        <f t="shared" si="0"/>
        <v>[G]</v>
      </c>
      <c r="K8" s="32" t="str">
        <f t="shared" si="0"/>
        <v>[H]</v>
      </c>
    </row>
    <row r="9" spans="1:11" ht="6" customHeight="1" x14ac:dyDescent="0.35"/>
    <row r="10" spans="1:11" ht="15" customHeight="1" x14ac:dyDescent="0.35">
      <c r="B10" s="18">
        <v>1</v>
      </c>
      <c r="D10" t="s">
        <v>1</v>
      </c>
      <c r="E10" s="43">
        <f>INDEX('Market Share of Facilities'!$1:$1048576, MATCH('Table 26'!$D10, 'Market Share of Facilities'!$C:$C,0),MATCH($E$1, 'Market Share of Facilities'!$6:$6,0))</f>
        <v>0.3236096481862264</v>
      </c>
      <c r="F10" s="43">
        <f>INDEX('Wireless Coverage - 2016'!$A$1:$J$22,MATCH('Table 26'!$D10,'Wireless Coverage - 2016'!$B:$B,0),MATCH('Table 26'!F$7,'Wireless Coverage - 2016'!$5:$5,0))</f>
        <v>0.99299999999999999</v>
      </c>
      <c r="G10" s="43">
        <f>INDEX('Wireless Coverage - 2016'!$A$1:$J$22,MATCH('Table 26'!$D10,'Wireless Coverage - 2016'!$B:$B,0),MATCH('Table 26'!G$7,'Wireless Coverage - 2016'!$5:$5,0))</f>
        <v>0.71699999999999997</v>
      </c>
      <c r="H10" s="121">
        <f>INDEX('Cumulative Capital Expenditure'!$1:$1048576,MATCH('Table 26'!$D10,'Cumulative Capital Expenditure'!$C:$C,0),MATCH('Table 26'!H$1,'Cumulative Capital Expenditure'!$6:$6,0))*$D$1</f>
        <v>52519000000</v>
      </c>
      <c r="I10" s="121">
        <f>INDEX('Cumulative Capital Expenditure'!$1:$1048576,MATCH('Table 26'!$D10,'Cumulative Capital Expenditure'!$C:$C,0),MATCH('Table 26'!I$1,'Cumulative Capital Expenditure'!$6:$6,0))*$D$1</f>
        <v>86954000000</v>
      </c>
      <c r="J10" s="43">
        <f>INDEX(Churn!$1:$1048576,MATCH('Table 26'!$D10,Churn!$D:$D,0),MATCH('Table 26'!J$7,Churn!$6:$6,0))</f>
        <v>1.4765445548729859E-2</v>
      </c>
      <c r="K10" s="49">
        <f>INDEX(Churn!$1:$1048576,MATCH('Table 26'!$D10,Churn!$D:$D,0),MATCH('Table 26'!K$7,Churn!$6:$6,0))</f>
        <v>6.1169052451469126</v>
      </c>
    </row>
    <row r="11" spans="1:11" ht="15" customHeight="1" x14ac:dyDescent="0.35">
      <c r="B11" s="18">
        <f>MAX($B$10:B10)+1</f>
        <v>2</v>
      </c>
      <c r="D11" t="s">
        <v>92</v>
      </c>
      <c r="E11" s="43">
        <f>INDEX('Market Share of Facilities'!$1:$1048576, MATCH('Table 26'!$D11, 'Market Share of Facilities'!$C:$C,0),MATCH($E$1, 'Market Share of Facilities'!$6:$6,0))</f>
        <v>0.34996389008188916</v>
      </c>
      <c r="F11" s="43">
        <f>INDEX('Wireless Coverage - 2016'!$A$1:$J$22,MATCH('Table 26'!$D11,'Wireless Coverage - 2016'!$B:$B,0),MATCH('Table 26'!F$7,'Wireless Coverage - 2016'!$5:$5,0))</f>
        <v>0.97299999999999998</v>
      </c>
      <c r="G11" s="43">
        <f>INDEX('Wireless Coverage - 2016'!$A$1:$J$22,MATCH('Table 26'!$D11,'Wireless Coverage - 2016'!$B:$B,0),MATCH('Table 26'!G$7,'Wireless Coverage - 2016'!$5:$5,0))</f>
        <v>0.66300000000000003</v>
      </c>
      <c r="H11" s="121">
        <f>INDEX('Cumulative Capital Expenditure'!$1:$1048576,MATCH('Table 26'!$D11,'Cumulative Capital Expenditure'!$C:$C,0),MATCH('Table 26'!H$1,'Cumulative Capital Expenditure'!$6:$6,0))*$D$1</f>
        <v>51762000000</v>
      </c>
      <c r="I11" s="121">
        <f>INDEX('Cumulative Capital Expenditure'!$1:$1048576,MATCH('Table 26'!$D11,'Cumulative Capital Expenditure'!$C:$C,0),MATCH('Table 26'!I$1,'Cumulative Capital Expenditure'!$6:$6,0))*$D$1</f>
        <v>89273000000</v>
      </c>
      <c r="J11" s="43">
        <f>INDEX(Churn!$1:$1048576,MATCH('Table 26'!$D11,Churn!$D:$D,0),MATCH('Table 26'!J$7,Churn!$6:$6,0))</f>
        <v>1.228726248652574E-2</v>
      </c>
      <c r="K11" s="49">
        <f>INDEX(Churn!$1:$1048576,MATCH('Table 26'!$D11,Churn!$D:$D,0),MATCH('Table 26'!K$7,Churn!$6:$6,0))</f>
        <v>7.2526974008048866</v>
      </c>
    </row>
    <row r="12" spans="1:11" ht="15" customHeight="1" x14ac:dyDescent="0.35">
      <c r="B12" s="18">
        <f>MAX($B$10:B11)+1</f>
        <v>3</v>
      </c>
      <c r="D12" t="s">
        <v>2</v>
      </c>
      <c r="E12" s="43">
        <f>INDEX('Market Share of Facilities'!$1:$1048576, MATCH('Table 26'!$D12, 'Market Share of Facilities'!$C:$C,0),MATCH($E$1, 'Market Share of Facilities'!$6:$6,0))</f>
        <v>0.14279613132013541</v>
      </c>
      <c r="F12" s="43">
        <f>INDEX('Wireless Coverage - 2016'!$A$1:$J$22,MATCH('Table 26'!$D12,'Wireless Coverage - 2016'!$B:$B,0),MATCH('Table 26'!F$7,'Wireless Coverage - 2016'!$5:$5,0))</f>
        <v>0.92</v>
      </c>
      <c r="G12" s="43">
        <f>INDEX('Wireless Coverage - 2016'!$A$1:$J$22,MATCH('Table 26'!$D12,'Wireless Coverage - 2016'!$B:$B,0),MATCH('Table 26'!G$7,'Wireless Coverage - 2016'!$5:$5,0))</f>
        <v>0.27500000000000002</v>
      </c>
      <c r="H12" s="121">
        <f>INDEX('Cumulative Capital Expenditure'!$1:$1048576,MATCH('Table 26'!$D12,'Cumulative Capital Expenditure'!$C:$C,0),MATCH('Table 26'!H$1,'Cumulative Capital Expenditure'!$6:$6,0))*$D$1</f>
        <v>22426000000</v>
      </c>
      <c r="I12" s="121">
        <f>INDEX('Cumulative Capital Expenditure'!$1:$1048576,MATCH('Table 26'!$D12,'Cumulative Capital Expenditure'!$C:$C,0),MATCH('Table 26'!I$1,'Cumulative Capital Expenditure'!$6:$6,0))*$D$1</f>
        <v>34885000000</v>
      </c>
      <c r="J12" s="43">
        <f>INDEX(Churn!$1:$1048576,MATCH('Table 26'!$D12,Churn!$D:$D,0),MATCH('Table 26'!J$7,Churn!$6:$6,0))</f>
        <v>2.1760169040690877E-2</v>
      </c>
      <c r="K12" s="49">
        <f>INDEX(Churn!$1:$1048576,MATCH('Table 26'!$D12,Churn!$D:$D,0),MATCH('Table 26'!K$7,Churn!$6:$6,0))</f>
        <v>4.3097825653134541</v>
      </c>
    </row>
    <row r="13" spans="1:11" ht="15" customHeight="1" x14ac:dyDescent="0.35">
      <c r="B13" s="18">
        <f>MAX($B$10:B12)+1</f>
        <v>4</v>
      </c>
      <c r="D13" t="s">
        <v>3</v>
      </c>
      <c r="E13" s="43">
        <f>INDEX('Market Share of Facilities'!$1:$1048576, MATCH('Table 26'!$D13, 'Market Share of Facilities'!$C:$C,0),MATCH($E$1, 'Market Share of Facilities'!$6:$6,0))</f>
        <v>0.17144413279812276</v>
      </c>
      <c r="F13" s="43">
        <f>INDEX('Wireless Coverage - 2016'!$A$1:$J$22,MATCH('Table 26'!$D13,'Wireless Coverage - 2016'!$B:$B,0),MATCH('Table 26'!F$7,'Wireless Coverage - 2016'!$5:$5,0))</f>
        <v>0.95099999999999996</v>
      </c>
      <c r="G13" s="43">
        <f>INDEX('Wireless Coverage - 2016'!$A$1:$J$22,MATCH('Table 26'!$D13,'Wireless Coverage - 2016'!$B:$B,0),MATCH('Table 26'!G$7,'Wireless Coverage - 2016'!$5:$5,0))</f>
        <v>0.47699999999999998</v>
      </c>
      <c r="H13" s="121">
        <f>INDEX('Cumulative Capital Expenditure'!$1:$1048576,MATCH('Table 26'!$D13,'Cumulative Capital Expenditure'!$C:$C,0),MATCH('Table 26'!H$1,'Cumulative Capital Expenditure'!$6:$6,0))*$D$1</f>
        <v>20885000000</v>
      </c>
      <c r="I13" s="121">
        <f>INDEX('Cumulative Capital Expenditure'!$1:$1048576,MATCH('Table 26'!$D13,'Cumulative Capital Expenditure'!$C:$C,0),MATCH('Table 26'!I$1,'Cumulative Capital Expenditure'!$6:$6,0))*$D$1</f>
        <v>36333000000</v>
      </c>
      <c r="J13" s="43">
        <f>INDEX(Churn!$1:$1048576,MATCH('Table 26'!$D13,Churn!$D:$D,0),MATCH('Table 26'!J$7,Churn!$6:$6,0))</f>
        <v>1.7224510675458084E-2</v>
      </c>
      <c r="K13" s="49">
        <f>INDEX(Churn!$1:$1048576,MATCH('Table 26'!$D13,Churn!$D:$D,0),MATCH('Table 26'!K$7,Churn!$6:$6,0))</f>
        <v>5.3136414856399918</v>
      </c>
    </row>
    <row r="14" spans="1:11" ht="6" customHeight="1" thickBot="1" x14ac:dyDescent="0.4">
      <c r="D14" s="4"/>
      <c r="E14" s="4"/>
      <c r="F14" s="4"/>
      <c r="G14" s="4"/>
      <c r="H14" s="4"/>
      <c r="I14" s="4"/>
      <c r="J14" s="4"/>
      <c r="K14" s="4"/>
    </row>
    <row r="15" spans="1:11" ht="6" customHeight="1" thickTop="1" x14ac:dyDescent="0.25"/>
    <row r="16" spans="1:11" ht="53.25" customHeight="1" x14ac:dyDescent="0.25">
      <c r="D16" s="145" t="s">
        <v>93</v>
      </c>
      <c r="E16" s="145"/>
      <c r="F16" s="145"/>
      <c r="G16" s="145"/>
      <c r="H16" s="145"/>
      <c r="I16" s="145"/>
      <c r="J16" s="145"/>
      <c r="K16" s="145"/>
    </row>
    <row r="17" spans="4:11" ht="15" customHeight="1" x14ac:dyDescent="0.25">
      <c r="D17" t="s">
        <v>15</v>
      </c>
    </row>
    <row r="18" spans="4:11" ht="15" customHeight="1" x14ac:dyDescent="0.25">
      <c r="D18" t="str">
        <f>E8&amp;": Market share based on estimated total connections as reported in the 20th Mobile Wireless Competition Report."</f>
        <v>[B]: Market share based on estimated total connections as reported in the 20th Mobile Wireless Competition Report.</v>
      </c>
    </row>
    <row r="19" spans="4:11" ht="15" customHeight="1" x14ac:dyDescent="0.35">
      <c r="D19" t="str">
        <f>F8&amp;": Share of total U.S. population covered by provider as reported in the 20th Mobile Wireless Competition Report."</f>
        <v>[C]: Share of total U.S. population covered by provider as reported in the 20th Mobile Wireless Competition Report.</v>
      </c>
    </row>
    <row r="20" spans="4:11" ht="15" customHeight="1" x14ac:dyDescent="0.35">
      <c r="D20" t="str">
        <f>G8&amp;": Share of total U.S. square miles covered by provider as reported in the 20th Mobile Wireless Competition Report."</f>
        <v>[D]: Share of total U.S. square miles covered by provider as reported in the 20th Mobile Wireless Competition Report.</v>
      </c>
    </row>
    <row r="21" spans="4:11" ht="15" customHeight="1" x14ac:dyDescent="0.35">
      <c r="D21" t="str">
        <f>H8&amp;": Sum of capital expenditures for each provider from 2012 through 2016 as reported in the 20th Mobile Wireless Competition Report."</f>
        <v>[E]: Sum of capital expenditures for each provider from 2012 through 2016 as reported in the 20th Mobile Wireless Competition Report.</v>
      </c>
    </row>
    <row r="22" spans="4:11" ht="45.4" customHeight="1" x14ac:dyDescent="0.35">
      <c r="D22" s="146" t="str">
        <f>I8&amp;": Sum of capital expenditures for each provider from 2007 through 2016 as reported in the 15th Mobile Wireless Competition Report and the 20th Mobile Wireless Competition Report. Capital expenditures"&amp;" from 2005 through 2009 are estimated based on Chart 30 in the 15th Mobile Wireless Competition Report."</f>
        <v>[F]: Sum of capital expenditures for each provider from 2007 through 2016 as reported in the 15th Mobile Wireless Competition Report and the 20th Mobile Wireless Competition Report. Capital expenditures from 2005 through 2009 are estimated based on Chart 30 in the 15th Mobile Wireless Competition Report.</v>
      </c>
      <c r="E22" s="146"/>
      <c r="F22" s="146"/>
      <c r="G22" s="146"/>
      <c r="H22" s="146"/>
      <c r="I22" s="146"/>
      <c r="J22" s="146"/>
      <c r="K22" s="146"/>
    </row>
    <row r="23" spans="4:11" ht="15" customHeight="1" x14ac:dyDescent="0.25">
      <c r="D23" t="str">
        <f>J8&amp;": Average monthly churn calculated as the geometric mean of monthly churn rates as reported in UBS Wireless 411."</f>
        <v>[G]: Average monthly churn calculated as the geometric mean of monthly churn rates as reported in UBS Wireless 411.</v>
      </c>
    </row>
    <row r="24" spans="4:11" ht="15" customHeight="1" x14ac:dyDescent="0.25">
      <c r="D24" t="str">
        <f>K8&amp;": Average subscription life, calculated as 1 / average monthly churn. Figures based on monthly churn rates reported in UBS Wireless 411."</f>
        <v>[H]: Average subscription life, calculated as 1 / average monthly churn. Figures based on monthly churn rates reported in UBS Wireless 411.</v>
      </c>
    </row>
  </sheetData>
  <mergeCells count="2">
    <mergeCell ref="D16:K16"/>
    <mergeCell ref="D22:K22"/>
  </mergeCells>
  <printOptions horizontalCentered="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
  <sheetViews>
    <sheetView view="pageBreakPreview" zoomScale="60" zoomScaleNormal="100" workbookViewId="0"/>
  </sheetViews>
  <sheetFormatPr defaultColWidth="9.26953125" defaultRowHeight="14.5" x14ac:dyDescent="0.35"/>
  <cols>
    <col min="1" max="16384" width="9.26953125" style="30"/>
  </cols>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workbookViewId="0"/>
  </sheetViews>
  <sheetFormatPr defaultRowHeight="14.5" outlineLevelRow="1" outlineLevelCol="1" x14ac:dyDescent="0.35"/>
  <cols>
    <col min="1" max="1" width="9.1796875" style="18" customWidth="1" outlineLevel="1"/>
    <col min="3" max="3" width="33" bestFit="1" customWidth="1"/>
    <col min="4" max="4" width="5" customWidth="1"/>
    <col min="5" max="13" width="11.54296875" bestFit="1" customWidth="1"/>
  </cols>
  <sheetData>
    <row r="1" spans="1:13" s="18" customFormat="1" ht="15" outlineLevel="1" x14ac:dyDescent="0.25">
      <c r="E1" s="18" t="str">
        <f>E6&amp;"Market Share"</f>
        <v>2008Market Share</v>
      </c>
      <c r="F1" s="18" t="str">
        <f t="shared" ref="F1:M1" si="0">F6&amp;"Market Share"</f>
        <v>2009Market Share</v>
      </c>
      <c r="G1" s="18" t="str">
        <f t="shared" si="0"/>
        <v>2010Market Share</v>
      </c>
      <c r="H1" s="18" t="str">
        <f t="shared" si="0"/>
        <v>2011Market Share</v>
      </c>
      <c r="I1" s="18" t="str">
        <f t="shared" si="0"/>
        <v>2012Market Share</v>
      </c>
      <c r="J1" s="18" t="str">
        <f t="shared" si="0"/>
        <v>2013Market Share</v>
      </c>
      <c r="K1" s="18" t="str">
        <f t="shared" si="0"/>
        <v>2014Market Share</v>
      </c>
      <c r="L1" s="18" t="str">
        <f t="shared" si="0"/>
        <v>2015Market Share</v>
      </c>
      <c r="M1" s="18" t="str">
        <f t="shared" si="0"/>
        <v>2016Market Share</v>
      </c>
    </row>
    <row r="3" spans="1:13" ht="20.25" customHeight="1" x14ac:dyDescent="0.45">
      <c r="C3" s="15" t="s">
        <v>54</v>
      </c>
      <c r="D3" s="15"/>
      <c r="E3" s="15"/>
      <c r="F3" s="15"/>
      <c r="G3" s="15"/>
      <c r="H3" s="15"/>
      <c r="I3" s="15"/>
      <c r="J3" s="15"/>
      <c r="K3" s="15"/>
      <c r="L3" s="15"/>
      <c r="M3" s="15"/>
    </row>
    <row r="4" spans="1:13" ht="6" customHeight="1" thickBot="1" x14ac:dyDescent="0.5">
      <c r="C4" s="3"/>
      <c r="D4" s="3"/>
      <c r="E4" s="3"/>
      <c r="F4" s="3"/>
      <c r="G4" s="3"/>
      <c r="H4" s="3"/>
      <c r="I4" s="3"/>
      <c r="J4" s="3"/>
      <c r="K4" s="3"/>
      <c r="L4" s="3"/>
      <c r="M4" s="3"/>
    </row>
    <row r="5" spans="1:13" ht="6" customHeight="1" thickTop="1" x14ac:dyDescent="0.35"/>
    <row r="6" spans="1:13" x14ac:dyDescent="0.35">
      <c r="C6" s="8" t="s">
        <v>0</v>
      </c>
      <c r="D6" s="8"/>
      <c r="E6" s="8">
        <v>2008</v>
      </c>
      <c r="F6" s="8">
        <f>E6+1</f>
        <v>2009</v>
      </c>
      <c r="G6" s="8">
        <f t="shared" ref="G6:M6" si="1">F6+1</f>
        <v>2010</v>
      </c>
      <c r="H6" s="8">
        <f t="shared" si="1"/>
        <v>2011</v>
      </c>
      <c r="I6" s="8">
        <f t="shared" si="1"/>
        <v>2012</v>
      </c>
      <c r="J6" s="8">
        <f t="shared" si="1"/>
        <v>2013</v>
      </c>
      <c r="K6" s="8">
        <f t="shared" si="1"/>
        <v>2014</v>
      </c>
      <c r="L6" s="8">
        <f t="shared" si="1"/>
        <v>2015</v>
      </c>
      <c r="M6" s="8">
        <f t="shared" si="1"/>
        <v>2016</v>
      </c>
    </row>
    <row r="7" spans="1:13" ht="6" customHeight="1" x14ac:dyDescent="0.35"/>
    <row r="8" spans="1:13" x14ac:dyDescent="0.35">
      <c r="A8" s="18">
        <v>1</v>
      </c>
      <c r="C8" t="s">
        <v>1</v>
      </c>
      <c r="D8" s="23" t="str">
        <f>"["&amp;A8&amp;"]"</f>
        <v>[1]</v>
      </c>
      <c r="E8" s="43">
        <f>INDEX('Connections and Market Shares'!$1:$1048576,MATCH('Market Share of Facilities'!$C8,'Connections and Market Shares'!$E:$E,0), MATCH('Market Share of Facilities'!E$1,'Connections and Market Shares'!$1:$1,0))</f>
        <v>0.31073316386232497</v>
      </c>
      <c r="F8" s="43">
        <f>INDEX('Connections and Market Shares'!$1:$1048576,MATCH('Market Share of Facilities'!$C8,'Connections and Market Shares'!$E:$E,0), MATCH('Market Share of Facilities'!F$1,'Connections and Market Shares'!$1:$1,0))</f>
        <v>0.31215734020822716</v>
      </c>
      <c r="G8" s="43">
        <f>INDEX('Connections and Market Shares'!$1:$1048576,MATCH('Market Share of Facilities'!$C8,'Connections and Market Shares'!$E:$E,0), MATCH('Market Share of Facilities'!G$1,'Connections and Market Shares'!$1:$1,0))</f>
        <v>0.32553923740075646</v>
      </c>
      <c r="H8" s="43">
        <f>INDEX('Connections and Market Shares'!$1:$1048576,MATCH('Market Share of Facilities'!$C8,'Connections and Market Shares'!$E:$E,0), MATCH('Market Share of Facilities'!H$1,'Connections and Market Shares'!$1:$1,0))</f>
        <v>0.32604693317501571</v>
      </c>
      <c r="I8" s="43">
        <f>INDEX('Connections and Market Shares'!$1:$1048576,MATCH('Market Share of Facilities'!$C8,'Connections and Market Shares'!$E:$E,0), MATCH('Market Share of Facilities'!I$1,'Connections and Market Shares'!$1:$1,0))</f>
        <v>0.3238625525691915</v>
      </c>
      <c r="J8" s="43">
        <f>INDEX('Connections and Market Shares'!$1:$1048576,MATCH('Market Share of Facilities'!$C8,'Connections and Market Shares'!$E:$E,0), MATCH('Market Share of Facilities'!J$1,'Connections and Market Shares'!$1:$1,0))</f>
        <v>0.31757221804652019</v>
      </c>
      <c r="K8" s="43">
        <f>INDEX('Connections and Market Shares'!$1:$1048576,MATCH('Market Share of Facilities'!$C8,'Connections and Market Shares'!$E:$E,0), MATCH('Market Share of Facilities'!K$1,'Connections and Market Shares'!$1:$1,0))</f>
        <v>0.3247099361994239</v>
      </c>
      <c r="L8" s="43">
        <f>INDEX('Connections and Market Shares'!$1:$1048576,MATCH('Market Share of Facilities'!$C8,'Connections and Market Shares'!$E:$E,0), MATCH('Market Share of Facilities'!L$1,'Connections and Market Shares'!$1:$1,0))</f>
        <v>0.3244185606776841</v>
      </c>
      <c r="M8" s="43">
        <f>INDEX('Connections and Market Shares'!$1:$1048576,MATCH('Market Share of Facilities'!$C8,'Connections and Market Shares'!$E:$E,0), MATCH('Market Share of Facilities'!M$1,'Connections and Market Shares'!$1:$1,0))</f>
        <v>0.3236096481862264</v>
      </c>
    </row>
    <row r="9" spans="1:13" x14ac:dyDescent="0.35">
      <c r="A9" s="18">
        <f>MAX($A$8:A8)+1</f>
        <v>2</v>
      </c>
      <c r="C9" t="s">
        <v>92</v>
      </c>
      <c r="D9" s="23" t="str">
        <f t="shared" ref="D9:D21" si="2">"["&amp;A9&amp;"]"</f>
        <v>[2]</v>
      </c>
      <c r="E9" s="43">
        <f>INDEX('Connections and Market Shares'!$1:$1048576,MATCH('Market Share of Facilities'!$C9,'Connections and Market Shares'!$E:$E,0), MATCH('Market Share of Facilities'!E$1,'Connections and Market Shares'!$1:$1,0))</f>
        <v>0.29074768994875522</v>
      </c>
      <c r="F9" s="43">
        <f>INDEX('Connections and Market Shares'!$1:$1048576,MATCH('Market Share of Facilities'!$C9,'Connections and Market Shares'!$E:$E,0), MATCH('Market Share of Facilities'!F$1,'Connections and Market Shares'!$1:$1,0))</f>
        <v>0.31334920035352404</v>
      </c>
      <c r="G9" s="43">
        <f>INDEX('Connections and Market Shares'!$1:$1048576,MATCH('Market Share of Facilities'!$C9,'Connections and Market Shares'!$E:$E,0), MATCH('Market Share of Facilities'!G$1,'Connections and Market Shares'!$1:$1,0))</f>
        <v>0.29827580331890824</v>
      </c>
      <c r="H9" s="43">
        <f>INDEX('Connections and Market Shares'!$1:$1048576,MATCH('Market Share of Facilities'!$C9,'Connections and Market Shares'!$E:$E,0), MATCH('Market Share of Facilities'!H$1,'Connections and Market Shares'!$1:$1,0))</f>
        <v>0.29105705434483981</v>
      </c>
      <c r="I9" s="43">
        <f>INDEX('Connections and Market Shares'!$1:$1048576,MATCH('Market Share of Facilities'!$C9,'Connections and Market Shares'!$E:$E,0), MATCH('Market Share of Facilities'!I$1,'Connections and Market Shares'!$1:$1,0))</f>
        <v>0.35294402611125747</v>
      </c>
      <c r="J9" s="43">
        <f>INDEX('Connections and Market Shares'!$1:$1048576,MATCH('Market Share of Facilities'!$C9,'Connections and Market Shares'!$E:$E,0), MATCH('Market Share of Facilities'!J$1,'Connections and Market Shares'!$1:$1,0))</f>
        <v>0.36151500228943662</v>
      </c>
      <c r="K9" s="43">
        <f>INDEX('Connections and Market Shares'!$1:$1048576,MATCH('Market Share of Facilities'!$C9,'Connections and Market Shares'!$E:$E,0), MATCH('Market Share of Facilities'!K$1,'Connections and Market Shares'!$1:$1,0))</f>
        <v>0.36237650415915146</v>
      </c>
      <c r="L9" s="43">
        <f>INDEX('Connections and Market Shares'!$1:$1048576,MATCH('Market Share of Facilities'!$C9,'Connections and Market Shares'!$E:$E,0), MATCH('Market Share of Facilities'!L$1,'Connections and Market Shares'!$1:$1,0))</f>
        <v>0.35528999483165047</v>
      </c>
      <c r="M9" s="43">
        <f>INDEX('Connections and Market Shares'!$1:$1048576,MATCH('Market Share of Facilities'!$C9,'Connections and Market Shares'!$E:$E,0), MATCH('Market Share of Facilities'!M$1,'Connections and Market Shares'!$1:$1,0))</f>
        <v>0.34996389008188916</v>
      </c>
    </row>
    <row r="10" spans="1:13" x14ac:dyDescent="0.35">
      <c r="A10" s="18">
        <f>MAX($A$8:A9)+1</f>
        <v>3</v>
      </c>
      <c r="C10" t="s">
        <v>2</v>
      </c>
      <c r="D10" s="23" t="str">
        <f t="shared" si="2"/>
        <v>[3]</v>
      </c>
      <c r="E10" s="43">
        <f>INDEX('Connections and Market Shares'!$1:$1048576,MATCH('Market Share of Facilities'!$C10,'Connections and Market Shares'!$E:$E,0), MATCH('Market Share of Facilities'!E$1,'Connections and Market Shares'!$1:$1,0))</f>
        <v>0.19504499051769358</v>
      </c>
      <c r="F10" s="43">
        <f>INDEX('Connections and Market Shares'!$1:$1048576,MATCH('Market Share of Facilities'!$C10,'Connections and Market Shares'!$E:$E,0), MATCH('Market Share of Facilities'!F$1,'Connections and Market Shares'!$1:$1,0))</f>
        <v>0.17651632114946661</v>
      </c>
      <c r="G10" s="43">
        <f>INDEX('Connections and Market Shares'!$1:$1048576,MATCH('Market Share of Facilities'!$C10,'Connections and Market Shares'!$E:$E,0), MATCH('Market Share of Facilities'!G$1,'Connections and Market Shares'!$1:$1,0))</f>
        <v>0.17006849081677855</v>
      </c>
      <c r="H10" s="43">
        <f>INDEX('Connections and Market Shares'!$1:$1048576,MATCH('Market Share of Facilities'!$C10,'Connections and Market Shares'!$E:$E,0), MATCH('Market Share of Facilities'!H$1,'Connections and Market Shares'!$1:$1,0))</f>
        <v>0.17375253818728428</v>
      </c>
      <c r="I10" s="43">
        <f>INDEX('Connections and Market Shares'!$1:$1048576,MATCH('Market Share of Facilities'!$C10,'Connections and Market Shares'!$E:$E,0), MATCH('Market Share of Facilities'!I$1,'Connections and Market Shares'!$1:$1,0))</f>
        <v>0.16842124385746596</v>
      </c>
      <c r="J10" s="43">
        <f>INDEX('Connections and Market Shares'!$1:$1048576,MATCH('Market Share of Facilities'!$C10,'Connections and Market Shares'!$E:$E,0), MATCH('Market Share of Facilities'!J$1,'Connections and Market Shares'!$1:$1,0))</f>
        <v>0.15730013506236196</v>
      </c>
      <c r="K10" s="43">
        <f>INDEX('Connections and Market Shares'!$1:$1048576,MATCH('Market Share of Facilities'!$C10,'Connections and Market Shares'!$E:$E,0), MATCH('Market Share of Facilities'!K$1,'Connections and Market Shares'!$1:$1,0))</f>
        <v>0.15056128354914258</v>
      </c>
      <c r="L10" s="43">
        <f>INDEX('Connections and Market Shares'!$1:$1048576,MATCH('Market Share of Facilities'!$C10,'Connections and Market Shares'!$E:$E,0), MATCH('Market Share of Facilities'!L$1,'Connections and Market Shares'!$1:$1,0))</f>
        <v>0.14768369700866013</v>
      </c>
      <c r="M10" s="43">
        <f>INDEX('Connections and Market Shares'!$1:$1048576,MATCH('Market Share of Facilities'!$C10,'Connections and Market Shares'!$E:$E,0), MATCH('Market Share of Facilities'!M$1,'Connections and Market Shares'!$1:$1,0))</f>
        <v>0.14279613132013541</v>
      </c>
    </row>
    <row r="11" spans="1:13" x14ac:dyDescent="0.35">
      <c r="A11" s="18">
        <f>MAX($A$8:A10)+1</f>
        <v>4</v>
      </c>
      <c r="C11" t="s">
        <v>3</v>
      </c>
      <c r="D11" s="23" t="str">
        <f t="shared" si="2"/>
        <v>[4]</v>
      </c>
      <c r="E11" s="43">
        <f>INDEX('Connections and Market Shares'!$1:$1048576,MATCH('Market Share of Facilities'!$C11,'Connections and Market Shares'!$E:$E,0), MATCH('Market Share of Facilities'!E$1,'Connections and Market Shares'!$1:$1,0))</f>
        <v>0.13217931646693298</v>
      </c>
      <c r="F11" s="43">
        <f>INDEX('Connections and Market Shares'!$1:$1048576,MATCH('Market Share of Facilities'!$C11,'Connections and Market Shares'!$E:$E,0), MATCH('Market Share of Facilities'!F$1,'Connections and Market Shares'!$1:$1,0))</f>
        <v>0.12391678249102438</v>
      </c>
      <c r="G11" s="43">
        <f>INDEX('Connections and Market Shares'!$1:$1048576,MATCH('Market Share of Facilities'!$C11,'Connections and Market Shares'!$E:$E,0), MATCH('Market Share of Facilities'!G$1,'Connections and Market Shares'!$1:$1,0))</f>
        <v>0.11494871707499915</v>
      </c>
      <c r="H11" s="43">
        <f>INDEX('Connections and Market Shares'!$1:$1048576,MATCH('Market Share of Facilities'!$C11,'Connections and Market Shares'!$E:$E,0), MATCH('Market Share of Facilities'!H$1,'Connections and Market Shares'!$1:$1,0))</f>
        <v>0.10479595026889785</v>
      </c>
      <c r="I11" s="43">
        <f>INDEX('Connections and Market Shares'!$1:$1048576,MATCH('Market Share of Facilities'!$C11,'Connections and Market Shares'!$E:$E,0), MATCH('Market Share of Facilities'!I$1,'Connections and Market Shares'!$1:$1,0))</f>
        <v>9.1737591551385347E-2</v>
      </c>
      <c r="J11" s="43">
        <f>INDEX('Connections and Market Shares'!$1:$1048576,MATCH('Market Share of Facilities'!$C11,'Connections and Market Shares'!$E:$E,0), MATCH('Market Share of Facilities'!J$1,'Connections and Market Shares'!$1:$1,0))</f>
        <v>0.13444032633831249</v>
      </c>
      <c r="K11" s="43">
        <f>INDEX('Connections and Market Shares'!$1:$1048576,MATCH('Market Share of Facilities'!$C11,'Connections and Market Shares'!$E:$E,0), MATCH('Market Share of Facilities'!K$1,'Connections and Market Shares'!$1:$1,0))</f>
        <v>0.14810886478046678</v>
      </c>
      <c r="L11" s="43">
        <f>INDEX('Connections and Market Shares'!$1:$1048576,MATCH('Market Share of Facilities'!$C11,'Connections and Market Shares'!$E:$E,0), MATCH('Market Share of Facilities'!L$1,'Connections and Market Shares'!$1:$1,0))</f>
        <v>0.15954316832432022</v>
      </c>
      <c r="M11" s="43">
        <f>INDEX('Connections and Market Shares'!$1:$1048576,MATCH('Market Share of Facilities'!$C11,'Connections and Market Shares'!$E:$E,0), MATCH('Market Share of Facilities'!M$1,'Connections and Market Shares'!$1:$1,0))</f>
        <v>0.17144413279812276</v>
      </c>
    </row>
    <row r="12" spans="1:13" x14ac:dyDescent="0.35">
      <c r="A12" s="18">
        <f>MAX($A$8:A11)+1</f>
        <v>5</v>
      </c>
      <c r="C12" t="s">
        <v>8</v>
      </c>
      <c r="D12" s="23" t="str">
        <f t="shared" si="2"/>
        <v>[5]</v>
      </c>
      <c r="E12" s="43">
        <f>INDEX('Connections and Market Shares'!$1:$1048576,MATCH('Market Share of Facilities'!$C12,'Connections and Market Shares'!$E:$E,0), MATCH('Market Share of Facilities'!E$1,'Connections and Market Shares'!$1:$1,0))</f>
        <v>1.9166364039866037E-3</v>
      </c>
      <c r="F12" s="43">
        <f>INDEX('Connections and Market Shares'!$1:$1048576,MATCH('Market Share of Facilities'!$C12,'Connections and Market Shares'!$E:$E,0), MATCH('Market Share of Facilities'!F$1,'Connections and Market Shares'!$1:$1,0))</f>
        <v>2.5230762460439413E-3</v>
      </c>
      <c r="G12" s="43">
        <f>INDEX('Connections and Market Shares'!$1:$1048576,MATCH('Market Share of Facilities'!$C12,'Connections and Market Shares'!$E:$E,0), MATCH('Market Share of Facilities'!G$1,'Connections and Market Shares'!$1:$1,0))</f>
        <v>1.4805601935461887E-2</v>
      </c>
      <c r="H12" s="43">
        <f>INDEX('Connections and Market Shares'!$1:$1048576,MATCH('Market Share of Facilities'!$C12,'Connections and Market Shares'!$E:$E,0), MATCH('Market Share of Facilities'!H$1,'Connections and Market Shares'!$1:$1,0))</f>
        <v>3.2889854514104901E-2</v>
      </c>
      <c r="I12" s="43" t="str">
        <f>INDEX('Connections and Market Shares'!$1:$1048576,MATCH('Market Share of Facilities'!$C12,'Connections and Market Shares'!$E:$E,0), MATCH('Market Share of Facilities'!I$1,'Connections and Market Shares'!$1:$1,0))</f>
        <v/>
      </c>
      <c r="J12" s="43" t="str">
        <f>INDEX('Connections and Market Shares'!$1:$1048576,MATCH('Market Share of Facilities'!$C12,'Connections and Market Shares'!$E:$E,0), MATCH('Market Share of Facilities'!J$1,'Connections and Market Shares'!$1:$1,0))</f>
        <v/>
      </c>
      <c r="K12" s="43" t="str">
        <f>INDEX('Connections and Market Shares'!$1:$1048576,MATCH('Market Share of Facilities'!$C12,'Connections and Market Shares'!$E:$E,0), MATCH('Market Share of Facilities'!K$1,'Connections and Market Shares'!$1:$1,0))</f>
        <v/>
      </c>
      <c r="L12" s="43" t="str">
        <f>INDEX('Connections and Market Shares'!$1:$1048576,MATCH('Market Share of Facilities'!$C12,'Connections and Market Shares'!$E:$E,0), MATCH('Market Share of Facilities'!L$1,'Connections and Market Shares'!$1:$1,0))</f>
        <v/>
      </c>
      <c r="M12" s="43" t="str">
        <f>INDEX('Connections and Market Shares'!$1:$1048576,MATCH('Market Share of Facilities'!$C12,'Connections and Market Shares'!$E:$E,0), MATCH('Market Share of Facilities'!M$1,'Connections and Market Shares'!$1:$1,0))</f>
        <v/>
      </c>
    </row>
    <row r="13" spans="1:13" x14ac:dyDescent="0.35">
      <c r="A13" s="18">
        <f>MAX($A$8:A12)+1</f>
        <v>6</v>
      </c>
      <c r="C13" s="34" t="s">
        <v>55</v>
      </c>
      <c r="D13" s="23" t="str">
        <f t="shared" si="2"/>
        <v>[6]</v>
      </c>
      <c r="E13" s="43">
        <f>INDEX('Connections and Market Shares'!$1:$1048576,MATCH('Market Share of Facilities'!$C13,'Connections and Market Shares'!$E:$E,0), MATCH('Market Share of Facilities'!E$1,'Connections and Market Shares'!$1:$1,0))</f>
        <v>2.1655973853044425E-2</v>
      </c>
      <c r="F13" s="43">
        <f>INDEX('Connections and Market Shares'!$1:$1048576,MATCH('Market Share of Facilities'!$C13,'Connections and Market Shares'!$E:$E,0), MATCH('Market Share of Facilities'!F$1,'Connections and Market Shares'!$1:$1,0))</f>
        <v>2.4350619583912454E-2</v>
      </c>
      <c r="G13" s="43">
        <f>INDEX('Connections and Market Shares'!$1:$1048576,MATCH('Market Share of Facilities'!$C13,'Connections and Market Shares'!$E:$E,0), MATCH('Market Share of Facilities'!G$1,'Connections and Market Shares'!$1:$1,0))</f>
        <v>2.7788189593484853E-2</v>
      </c>
      <c r="H13" s="43">
        <f>INDEX('Connections and Market Shares'!$1:$1048576,MATCH('Market Share of Facilities'!$C13,'Connections and Market Shares'!$E:$E,0), MATCH('Market Share of Facilities'!H$1,'Connections and Market Shares'!$1:$1,0))</f>
        <v>2.9517183883181804E-2</v>
      </c>
      <c r="I13" s="43" t="str">
        <f>INDEX('Connections and Market Shares'!$1:$1048576,MATCH('Market Share of Facilities'!$C13,'Connections and Market Shares'!$E:$E,0), MATCH('Market Share of Facilities'!I$1,'Connections and Market Shares'!$1:$1,0))</f>
        <v/>
      </c>
      <c r="J13" s="43" t="str">
        <f>INDEX('Connections and Market Shares'!$1:$1048576,MATCH('Market Share of Facilities'!$C13,'Connections and Market Shares'!$E:$E,0), MATCH('Market Share of Facilities'!J$1,'Connections and Market Shares'!$1:$1,0))</f>
        <v/>
      </c>
      <c r="K13" s="43" t="str">
        <f>INDEX('Connections and Market Shares'!$1:$1048576,MATCH('Market Share of Facilities'!$C13,'Connections and Market Shares'!$E:$E,0), MATCH('Market Share of Facilities'!K$1,'Connections and Market Shares'!$1:$1,0))</f>
        <v/>
      </c>
      <c r="L13" s="43" t="str">
        <f>INDEX('Connections and Market Shares'!$1:$1048576,MATCH('Market Share of Facilities'!$C13,'Connections and Market Shares'!$E:$E,0), MATCH('Market Share of Facilities'!L$1,'Connections and Market Shares'!$1:$1,0))</f>
        <v/>
      </c>
      <c r="M13" s="43" t="str">
        <f>INDEX('Connections and Market Shares'!$1:$1048576,MATCH('Market Share of Facilities'!$C13,'Connections and Market Shares'!$E:$E,0), MATCH('Market Share of Facilities'!M$1,'Connections and Market Shares'!$1:$1,0))</f>
        <v/>
      </c>
    </row>
    <row r="14" spans="1:13" x14ac:dyDescent="0.35">
      <c r="A14" s="18">
        <f>MAX($A$8:A13)+1</f>
        <v>7</v>
      </c>
      <c r="C14" s="34" t="s">
        <v>56</v>
      </c>
      <c r="D14" s="23" t="str">
        <f t="shared" si="2"/>
        <v>[7]</v>
      </c>
      <c r="E14" s="43">
        <f>INDEX('Connections and Market Shares'!$1:$1048576,MATCH('Market Share of Facilities'!$C14,'Connections and Market Shares'!$E:$E,0), MATCH('Market Share of Facilities'!E$1,'Connections and Market Shares'!$1:$1,0))</f>
        <v>1.5514667312270507E-2</v>
      </c>
      <c r="F14" s="43">
        <f>INDEX('Connections and Market Shares'!$1:$1048576,MATCH('Market Share of Facilities'!$C14,'Connections and Market Shares'!$E:$E,0), MATCH('Market Share of Facilities'!F$1,'Connections and Market Shares'!$1:$1,0))</f>
        <v>1.8167615876310588E-2</v>
      </c>
      <c r="G14" s="43">
        <f>INDEX('Connections and Market Shares'!$1:$1048576,MATCH('Market Share of Facilities'!$C14,'Connections and Market Shares'!$E:$E,0), MATCH('Market Share of Facilities'!G$1,'Connections and Market Shares'!$1:$1,0))</f>
        <v>1.8802603332538248E-2</v>
      </c>
      <c r="H14" s="43">
        <f>INDEX('Connections and Market Shares'!$1:$1048576,MATCH('Market Share of Facilities'!$C14,'Connections and Market Shares'!$E:$E,0), MATCH('Market Share of Facilities'!H$1,'Connections and Market Shares'!$1:$1,0))</f>
        <v>1.8739164348218769E-2</v>
      </c>
      <c r="I14" s="43">
        <f>INDEX('Connections and Market Shares'!$1:$1048576,MATCH('Market Share of Facilities'!$C14,'Connections and Market Shares'!$E:$E,0), MATCH('Market Share of Facilities'!I$1,'Connections and Market Shares'!$1:$1,0))</f>
        <v>1.6037955788893634E-2</v>
      </c>
      <c r="J14" s="43">
        <f>INDEX('Connections and Market Shares'!$1:$1048576,MATCH('Market Share of Facilities'!$C14,'Connections and Market Shares'!$E:$E,0), MATCH('Market Share of Facilities'!J$1,'Connections and Market Shares'!$1:$1,0))</f>
        <v>1.3105944759781942E-2</v>
      </c>
      <c r="K14" s="43" t="str">
        <f>INDEX('Connections and Market Shares'!$1:$1048576,MATCH('Market Share of Facilities'!$C14,'Connections and Market Shares'!$E:$E,0), MATCH('Market Share of Facilities'!K$1,'Connections and Market Shares'!$1:$1,0))</f>
        <v/>
      </c>
      <c r="L14" s="43" t="str">
        <f>INDEX('Connections and Market Shares'!$1:$1048576,MATCH('Market Share of Facilities'!$C14,'Connections and Market Shares'!$E:$E,0), MATCH('Market Share of Facilities'!L$1,'Connections and Market Shares'!$1:$1,0))</f>
        <v/>
      </c>
      <c r="M14" s="43" t="str">
        <f>INDEX('Connections and Market Shares'!$1:$1048576,MATCH('Market Share of Facilities'!$C14,'Connections and Market Shares'!$E:$E,0), MATCH('Market Share of Facilities'!M$1,'Connections and Market Shares'!$1:$1,0))</f>
        <v/>
      </c>
    </row>
    <row r="15" spans="1:13" x14ac:dyDescent="0.35">
      <c r="A15" s="18">
        <f>MAX($A$8:A14)+1</f>
        <v>8</v>
      </c>
      <c r="C15" s="34" t="s">
        <v>57</v>
      </c>
      <c r="D15" s="23" t="str">
        <f t="shared" si="2"/>
        <v>[8]</v>
      </c>
      <c r="E15" s="43">
        <f>INDEX('Connections and Market Shares'!$1:$1048576,MATCH('Market Share of Facilities'!$C15,'Connections and Market Shares'!$E:$E,0), MATCH('Market Share of Facilities'!E$1,'Connections and Market Shares'!$1:$1,0))</f>
        <v>2.5001008756002099E-2</v>
      </c>
      <c r="F15" s="43">
        <f>INDEX('Connections and Market Shares'!$1:$1048576,MATCH('Market Share of Facilities'!$C15,'Connections and Market Shares'!$E:$E,0), MATCH('Market Share of Facilities'!F$1,'Connections and Market Shares'!$1:$1,0))</f>
        <v>2.2520655853133491E-2</v>
      </c>
      <c r="G15" s="43">
        <f>INDEX('Connections and Market Shares'!$1:$1048576,MATCH('Market Share of Facilities'!$C15,'Connections and Market Shares'!$E:$E,0), MATCH('Market Share of Facilities'!G$1,'Connections and Market Shares'!$1:$1,0))</f>
        <v>2.069036017310117E-2</v>
      </c>
      <c r="H15" s="43">
        <f>INDEX('Connections and Market Shares'!$1:$1048576,MATCH('Market Share of Facilities'!$C15,'Connections and Market Shares'!$E:$E,0), MATCH('Market Share of Facilities'!H$1,'Connections and Market Shares'!$1:$1,0))</f>
        <v>1.8603373302217185E-2</v>
      </c>
      <c r="I15" s="43">
        <f>INDEX('Connections and Market Shares'!$1:$1048576,MATCH('Market Share of Facilities'!$C15,'Connections and Market Shares'!$E:$E,0), MATCH('Market Share of Facilities'!I$1,'Connections and Market Shares'!$1:$1,0))</f>
        <v>1.7554855137626068E-2</v>
      </c>
      <c r="J15" s="43">
        <f>INDEX('Connections and Market Shares'!$1:$1048576,MATCH('Market Share of Facilities'!$C15,'Connections and Market Shares'!$E:$E,0), MATCH('Market Share of Facilities'!J$1,'Connections and Market Shares'!$1:$1,0))</f>
        <v>1.3748138932805755E-2</v>
      </c>
      <c r="K15" s="43">
        <f>INDEX('Connections and Market Shares'!$1:$1048576,MATCH('Market Share of Facilities'!$C15,'Connections and Market Shares'!$E:$E,0), MATCH('Market Share of Facilities'!K$1,'Connections and Market Shares'!$1:$1,0))</f>
        <v>1.2813955366516812E-2</v>
      </c>
      <c r="L15" s="43">
        <f>INDEX('Connections and Market Shares'!$1:$1048576,MATCH('Market Share of Facilities'!$C15,'Connections and Market Shares'!$E:$E,0), MATCH('Market Share of Facilities'!L$1,'Connections and Market Shares'!$1:$1,0))</f>
        <v>1.2293108447100052E-2</v>
      </c>
      <c r="M15" s="43">
        <f>INDEX('Connections and Market Shares'!$1:$1048576,MATCH('Market Share of Facilities'!$C15,'Connections and Market Shares'!$E:$E,0), MATCH('Market Share of Facilities'!M$1,'Connections and Market Shares'!$1:$1,0))</f>
        <v>1.2186197613626276E-2</v>
      </c>
    </row>
    <row r="16" spans="1:13" x14ac:dyDescent="0.35">
      <c r="A16" s="18">
        <f>MAX($A$8:A15)+1</f>
        <v>9</v>
      </c>
      <c r="C16" t="s">
        <v>58</v>
      </c>
      <c r="D16" s="23" t="str">
        <f t="shared" si="2"/>
        <v>[9]</v>
      </c>
      <c r="E16" s="43">
        <f>INDEX('Connections and Market Shares'!$1:$1048576,MATCH('Market Share of Facilities'!$C16,'Connections and Market Shares'!$E:$E,0), MATCH('Market Share of Facilities'!E$1,'Connections and Market Shares'!$1:$1,0))</f>
        <v>3.2280192067142797E-3</v>
      </c>
      <c r="F16" s="43">
        <f>INDEX('Connections and Market Shares'!$1:$1048576,MATCH('Market Share of Facilities'!$C16,'Connections and Market Shares'!$E:$E,0), MATCH('Market Share of Facilities'!F$1,'Connections and Market Shares'!$1:$1,0))</f>
        <v>2.9338095884231872E-3</v>
      </c>
      <c r="G16" s="43" t="str">
        <f>INDEX('Connections and Market Shares'!$1:$1048576,MATCH('Market Share of Facilities'!$C16,'Connections and Market Shares'!$E:$E,0), MATCH('Market Share of Facilities'!G$1,'Connections and Market Shares'!$1:$1,0))</f>
        <v/>
      </c>
      <c r="H16" s="43">
        <f>INDEX('Connections and Market Shares'!$1:$1048576,MATCH('Market Share of Facilities'!$C16,'Connections and Market Shares'!$E:$E,0), MATCH('Market Share of Facilities'!H$1,'Connections and Market Shares'!$1:$1,0))</f>
        <v>3.1579313023624486E-3</v>
      </c>
      <c r="I16" s="43" t="str">
        <f>INDEX('Connections and Market Shares'!$1:$1048576,MATCH('Market Share of Facilities'!$C16,'Connections and Market Shares'!$E:$E,0), MATCH('Market Share of Facilities'!I$1,'Connections and Market Shares'!$1:$1,0))</f>
        <v/>
      </c>
      <c r="J16" s="43" t="str">
        <f>INDEX('Connections and Market Shares'!$1:$1048576,MATCH('Market Share of Facilities'!$C16,'Connections and Market Shares'!$E:$E,0), MATCH('Market Share of Facilities'!J$1,'Connections and Market Shares'!$1:$1,0))</f>
        <v/>
      </c>
      <c r="K16" s="43" t="str">
        <f>INDEX('Connections and Market Shares'!$1:$1048576,MATCH('Market Share of Facilities'!$C16,'Connections and Market Shares'!$E:$E,0), MATCH('Market Share of Facilities'!K$1,'Connections and Market Shares'!$1:$1,0))</f>
        <v/>
      </c>
      <c r="L16" s="43" t="str">
        <f>INDEX('Connections and Market Shares'!$1:$1048576,MATCH('Market Share of Facilities'!$C16,'Connections and Market Shares'!$E:$E,0), MATCH('Market Share of Facilities'!L$1,'Connections and Market Shares'!$1:$1,0))</f>
        <v/>
      </c>
      <c r="M16" s="43" t="str">
        <f>INDEX('Connections and Market Shares'!$1:$1048576,MATCH('Market Share of Facilities'!$C16,'Connections and Market Shares'!$E:$E,0), MATCH('Market Share of Facilities'!M$1,'Connections and Market Shares'!$1:$1,0))</f>
        <v/>
      </c>
    </row>
    <row r="17" spans="1:30" x14ac:dyDescent="0.35">
      <c r="A17" s="18">
        <f>MAX($A$8:A16)+1</f>
        <v>10</v>
      </c>
      <c r="C17" s="24" t="s">
        <v>12</v>
      </c>
      <c r="D17" s="23" t="str">
        <f t="shared" si="2"/>
        <v>[10]</v>
      </c>
      <c r="E17" s="43" t="str">
        <f>INDEX('Connections and Market Shares'!$1:$1048576,MATCH('Market Share of Facilities'!$C17,'Connections and Market Shares'!$E:$E,0), MATCH('Market Share of Facilities'!E$1,'Connections and Market Shares'!$1:$1,0))</f>
        <v/>
      </c>
      <c r="F17" s="43" t="str">
        <f>INDEX('Connections and Market Shares'!$1:$1048576,MATCH('Market Share of Facilities'!$C17,'Connections and Market Shares'!$E:$E,0), MATCH('Market Share of Facilities'!F$1,'Connections and Market Shares'!$1:$1,0))</f>
        <v/>
      </c>
      <c r="G17" s="43">
        <f>INDEX('Connections and Market Shares'!$1:$1048576,MATCH('Market Share of Facilities'!$C17,'Connections and Market Shares'!$E:$E,0), MATCH('Market Share of Facilities'!G$1,'Connections and Market Shares'!$1:$1,0))</f>
        <v>2.4465873854227008E-3</v>
      </c>
      <c r="H17" s="43">
        <f>INDEX('Connections and Market Shares'!$1:$1048576,MATCH('Market Share of Facilities'!$C17,'Connections and Market Shares'!$E:$E,0), MATCH('Market Share of Facilities'!H$1,'Connections and Market Shares'!$1:$1,0))</f>
        <v>1.8379160179749449E-3</v>
      </c>
      <c r="I17" s="43" t="str">
        <f>INDEX('Connections and Market Shares'!$1:$1048576,MATCH('Market Share of Facilities'!$C17,'Connections and Market Shares'!$E:$E,0), MATCH('Market Share of Facilities'!I$1,'Connections and Market Shares'!$1:$1,0))</f>
        <v/>
      </c>
      <c r="J17" s="43" t="str">
        <f>INDEX('Connections and Market Shares'!$1:$1048576,MATCH('Market Share of Facilities'!$C17,'Connections and Market Shares'!$E:$E,0), MATCH('Market Share of Facilities'!J$1,'Connections and Market Shares'!$1:$1,0))</f>
        <v/>
      </c>
      <c r="K17" s="43" t="str">
        <f>INDEX('Connections and Market Shares'!$1:$1048576,MATCH('Market Share of Facilities'!$C17,'Connections and Market Shares'!$E:$E,0), MATCH('Market Share of Facilities'!K$1,'Connections and Market Shares'!$1:$1,0))</f>
        <v/>
      </c>
      <c r="L17" s="43" t="str">
        <f>INDEX('Connections and Market Shares'!$1:$1048576,MATCH('Market Share of Facilities'!$C17,'Connections and Market Shares'!$E:$E,0), MATCH('Market Share of Facilities'!L$1,'Connections and Market Shares'!$1:$1,0))</f>
        <v/>
      </c>
      <c r="M17" s="43" t="str">
        <f>INDEX('Connections and Market Shares'!$1:$1048576,MATCH('Market Share of Facilities'!$C17,'Connections and Market Shares'!$E:$E,0), MATCH('Market Share of Facilities'!M$1,'Connections and Market Shares'!$1:$1,0))</f>
        <v/>
      </c>
    </row>
    <row r="18" spans="1:30" x14ac:dyDescent="0.35">
      <c r="A18" s="18">
        <f>MAX($A$8:A17)+1</f>
        <v>11</v>
      </c>
      <c r="C18" s="24" t="s">
        <v>13</v>
      </c>
      <c r="D18" s="23" t="str">
        <f t="shared" si="2"/>
        <v>[11]</v>
      </c>
      <c r="E18" s="43">
        <f>INDEX('Connections and Market Shares'!$1:$1048576,MATCH('Market Share of Facilities'!$C18,'Connections and Market Shares'!$E:$E,0), MATCH('Market Share of Facilities'!E$1,'Connections and Market Shares'!$1:$1,0))</f>
        <v>2.2232982286244604E-3</v>
      </c>
      <c r="F18" s="43">
        <f>INDEX('Connections and Market Shares'!$1:$1048576,MATCH('Market Share of Facilities'!$C18,'Connections and Market Shares'!$E:$E,0), MATCH('Market Share of Facilities'!F$1,'Connections and Market Shares'!$1:$1,0))</f>
        <v>1.9546506382869485E-3</v>
      </c>
      <c r="G18" s="43">
        <f>INDEX('Connections and Market Shares'!$1:$1048576,MATCH('Market Share of Facilities'!$C18,'Connections and Market Shares'!$E:$E,0), MATCH('Market Share of Facilities'!G$1,'Connections and Market Shares'!$1:$1,0))</f>
        <v>1.7344191910587112E-3</v>
      </c>
      <c r="H18" s="43">
        <f>INDEX('Connections and Market Shares'!$1:$1048576,MATCH('Market Share of Facilities'!$C18,'Connections and Market Shares'!$E:$E,0), MATCH('Market Share of Facilities'!H$1,'Connections and Market Shares'!$1:$1,0))</f>
        <v>1.4494904677843639E-3</v>
      </c>
      <c r="I18" s="43">
        <f>INDEX('Connections and Market Shares'!$1:$1048576,MATCH('Market Share of Facilities'!$C18,'Connections and Market Shares'!$E:$E,0), MATCH('Market Share of Facilities'!I$1,'Connections and Market Shares'!$1:$1,0))</f>
        <v>1.2050417979950284E-3</v>
      </c>
      <c r="J18" s="43">
        <f>INDEX('Connections and Market Shares'!$1:$1048576,MATCH('Market Share of Facilities'!$C18,'Connections and Market Shares'!$E:$E,0), MATCH('Market Share of Facilities'!J$1,'Connections and Market Shares'!$1:$1,0))</f>
        <v>9.7913012927397492E-4</v>
      </c>
      <c r="K18" s="43">
        <f>INDEX('Connections and Market Shares'!$1:$1048576,MATCH('Market Share of Facilities'!$C18,'Connections and Market Shares'!$E:$E,0), MATCH('Market Share of Facilities'!K$1,'Connections and Market Shares'!$1:$1,0))</f>
        <v>2.2074460925512155E-4</v>
      </c>
      <c r="L18" s="43" t="str">
        <f>INDEX('Connections and Market Shares'!$1:$1048576,MATCH('Market Share of Facilities'!$C18,'Connections and Market Shares'!$E:$E,0), MATCH('Market Share of Facilities'!L$1,'Connections and Market Shares'!$1:$1,0))</f>
        <v/>
      </c>
      <c r="M18" s="43" t="str">
        <f>INDEX('Connections and Market Shares'!$1:$1048576,MATCH('Market Share of Facilities'!$C18,'Connections and Market Shares'!$E:$E,0), MATCH('Market Share of Facilities'!M$1,'Connections and Market Shares'!$1:$1,0))</f>
        <v/>
      </c>
    </row>
    <row r="19" spans="1:30" x14ac:dyDescent="0.35">
      <c r="A19" s="18">
        <f>MAX($A$8:A18)+1</f>
        <v>12</v>
      </c>
      <c r="C19" s="24" t="s">
        <v>14</v>
      </c>
      <c r="D19" s="23" t="str">
        <f t="shared" si="2"/>
        <v>[12]</v>
      </c>
      <c r="E19" s="43">
        <f>INDEX('Connections and Market Shares'!$1:$1048576,MATCH('Market Share of Facilities'!$C19,'Connections and Market Shares'!$E:$E,0), MATCH('Market Share of Facilities'!E$1,'Connections and Market Shares'!$1:$1,0))</f>
        <v>1.7552354436508896E-3</v>
      </c>
      <c r="F19" s="43">
        <f>INDEX('Connections and Market Shares'!$1:$1048576,MATCH('Market Share of Facilities'!$C19,'Connections and Market Shares'!$E:$E,0), MATCH('Market Share of Facilities'!F$1,'Connections and Market Shares'!$1:$1,0))</f>
        <v>1.609928011647224E-3</v>
      </c>
      <c r="G19" s="43">
        <f>INDEX('Connections and Market Shares'!$1:$1048576,MATCH('Market Share of Facilities'!$C19,'Connections and Market Shares'!$E:$E,0), MATCH('Market Share of Facilities'!G$1,'Connections and Market Shares'!$1:$1,0))</f>
        <v>1.4924864551742938E-3</v>
      </c>
      <c r="H19" s="43">
        <f>INDEX('Connections and Market Shares'!$1:$1048576,MATCH('Market Share of Facilities'!$C19,'Connections and Market Shares'!$E:$E,0), MATCH('Market Share of Facilities'!H$1,'Connections and Market Shares'!$1:$1,0))</f>
        <v>1.3105414904804162E-3</v>
      </c>
      <c r="I19" s="43">
        <f>INDEX('Connections and Market Shares'!$1:$1048576,MATCH('Market Share of Facilities'!$C19,'Connections and Market Shares'!$E:$E,0), MATCH('Market Share of Facilities'!I$1,'Connections and Market Shares'!$1:$1,0))</f>
        <v>1.3322070128588255E-3</v>
      </c>
      <c r="J19" s="43">
        <f>INDEX('Connections and Market Shares'!$1:$1048576,MATCH('Market Share of Facilities'!$C19,'Connections and Market Shares'!$E:$E,0), MATCH('Market Share of Facilities'!J$1,'Connections and Market Shares'!$1:$1,0))</f>
        <v>1.339104441507054E-3</v>
      </c>
      <c r="K19" s="43">
        <f>INDEX('Connections and Market Shares'!$1:$1048576,MATCH('Market Share of Facilities'!$C19,'Connections and Market Shares'!$E:$E,0), MATCH('Market Share of Facilities'!K$1,'Connections and Market Shares'!$1:$1,0))</f>
        <v>1.2087113360432875E-3</v>
      </c>
      <c r="L19" s="43">
        <f>INDEX('Connections and Market Shares'!$1:$1048576,MATCH('Market Share of Facilities'!$C19,'Connections and Market Shares'!$E:$E,0), MATCH('Market Share of Facilities'!L$1,'Connections and Market Shares'!$1:$1,0))</f>
        <v>7.7147071058503191E-4</v>
      </c>
      <c r="M19" s="43" t="str">
        <f>INDEX('Connections and Market Shares'!$1:$1048576,MATCH('Market Share of Facilities'!$C19,'Connections and Market Shares'!$E:$E,0), MATCH('Market Share of Facilities'!M$1,'Connections and Market Shares'!$1:$1,0))</f>
        <v/>
      </c>
    </row>
    <row r="20" spans="1:30" ht="6" customHeight="1" x14ac:dyDescent="0.35">
      <c r="C20" s="24"/>
      <c r="D20" s="62"/>
    </row>
    <row r="21" spans="1:30" x14ac:dyDescent="0.35">
      <c r="A21" s="18">
        <f>MAX($A$8:A20)+1</f>
        <v>13</v>
      </c>
      <c r="C21" s="63" t="s">
        <v>59</v>
      </c>
      <c r="D21" s="23" t="str">
        <f t="shared" si="2"/>
        <v>[13]</v>
      </c>
      <c r="E21" s="29">
        <f>INDEX('Connections and Market Shares'!$1:$1048576, MATCH('Market Share of Facilities'!$C21,'Connections and Market Shares'!$E:$E,0),MATCH('Market Share of Facilities'!E$6,'Connections and Market Shares'!$7:$7,0))</f>
        <v>247830</v>
      </c>
      <c r="F21" s="29">
        <f>INDEX('Connections and Market Shares'!$1:$1048576, MATCH('Market Share of Facilities'!$C21,'Connections and Market Shares'!$E:$E,0),MATCH('Market Share of Facilities'!F$6,'Connections and Market Shares'!$7:$7,0))</f>
        <v>272683</v>
      </c>
      <c r="G21" s="29">
        <f>INDEX('Connections and Market Shares'!$1:$1048576, MATCH('Market Share of Facilities'!$C21,'Connections and Market Shares'!$E:$E,0),MATCH('Market Share of Facilities'!G$6,'Connections and Market Shares'!$7:$7,0))</f>
        <v>293470</v>
      </c>
      <c r="H21" s="29">
        <f>INDEX('Connections and Market Shares'!$1:$1048576, MATCH('Market Share of Facilities'!$C21,'Connections and Market Shares'!$E:$E,0),MATCH('Market Share of Facilities'!H$6,'Connections and Market Shares'!$7:$7,0))</f>
        <v>316663</v>
      </c>
      <c r="I21" s="29">
        <f>INDEX('Connections and Market Shares'!$1:$1048576, MATCH('Market Share of Facilities'!$C21,'Connections and Market Shares'!$E:$E,0),MATCH('Market Share of Facilities'!I$6,'Connections and Market Shares'!$7:$7,0))</f>
        <v>330279</v>
      </c>
      <c r="J21" s="29">
        <f>INDEX('Connections and Market Shares'!$1:$1048576, MATCH('Market Share of Facilities'!$C21,'Connections and Market Shares'!$E:$E,0),MATCH('Market Share of Facilities'!J$6,'Connections and Market Shares'!$7:$7,0))</f>
        <v>347247</v>
      </c>
      <c r="K21" s="29">
        <f>INDEX('Connections and Market Shares'!$1:$1048576, MATCH('Market Share of Facilities'!$C21,'Connections and Market Shares'!$E:$E,0),MATCH('Market Share of Facilities'!K$6,'Connections and Market Shares'!$7:$7,0))</f>
        <v>371470</v>
      </c>
      <c r="L21" s="29">
        <f>INDEX('Connections and Market Shares'!$1:$1048576, MATCH('Market Share of Facilities'!$C21,'Connections and Market Shares'!$E:$E,0),MATCH('Market Share of Facilities'!L$6,'Connections and Market Shares'!$7:$7,0))</f>
        <v>396645</v>
      </c>
      <c r="M21" s="29">
        <f>INDEX('Connections and Market Shares'!$1:$1048576, MATCH('Market Share of Facilities'!$C21,'Connections and Market Shares'!$E:$E,0),MATCH('Market Share of Facilities'!M$6,'Connections and Market Shares'!$7:$7,0))</f>
        <v>416783</v>
      </c>
    </row>
    <row r="22" spans="1:30" ht="6" customHeight="1" thickBot="1" x14ac:dyDescent="0.4">
      <c r="C22" s="4"/>
      <c r="D22" s="4"/>
      <c r="E22" s="4"/>
      <c r="F22" s="4"/>
      <c r="G22" s="4"/>
      <c r="H22" s="4"/>
      <c r="I22" s="4"/>
      <c r="J22" s="4"/>
      <c r="K22" s="4"/>
      <c r="L22" s="4"/>
      <c r="M22" s="4"/>
    </row>
    <row r="23" spans="1:30" ht="6" customHeight="1" thickTop="1" x14ac:dyDescent="0.35"/>
    <row r="24" spans="1:30" ht="136.5" customHeight="1" x14ac:dyDescent="0.35">
      <c r="C24" s="148" t="s">
        <v>94</v>
      </c>
      <c r="D24" s="148"/>
      <c r="E24" s="148"/>
      <c r="F24" s="148"/>
      <c r="G24" s="148"/>
      <c r="H24" s="148"/>
      <c r="I24" s="148"/>
      <c r="J24" s="148"/>
      <c r="K24" s="148"/>
      <c r="L24" s="148"/>
      <c r="M24" s="148"/>
      <c r="N24" s="64"/>
      <c r="O24" s="64"/>
      <c r="P24" s="64"/>
      <c r="Q24" s="64"/>
      <c r="R24" s="64"/>
      <c r="S24" s="64"/>
      <c r="T24" s="64"/>
      <c r="U24" s="64"/>
      <c r="V24" s="64"/>
      <c r="W24" s="64"/>
      <c r="X24" s="64"/>
      <c r="Y24" s="64"/>
      <c r="Z24" s="64"/>
      <c r="AA24" s="64"/>
      <c r="AB24" s="64"/>
      <c r="AC24" s="64"/>
      <c r="AD24" s="64"/>
    </row>
    <row r="25" spans="1:30" x14ac:dyDescent="0.35">
      <c r="C25" s="65" t="s">
        <v>15</v>
      </c>
      <c r="D25" s="26"/>
      <c r="E25" s="17"/>
      <c r="F25" s="17"/>
      <c r="G25" s="26"/>
      <c r="H25" s="17"/>
      <c r="I25" s="17"/>
      <c r="J25" s="26"/>
      <c r="K25" s="17"/>
      <c r="L25" s="17"/>
      <c r="M25" s="26"/>
      <c r="N25" s="17"/>
      <c r="O25" s="17"/>
      <c r="P25" s="26"/>
      <c r="Q25" s="17"/>
      <c r="R25" s="17"/>
      <c r="S25" s="26"/>
      <c r="T25" s="17"/>
      <c r="U25" s="17"/>
      <c r="V25" s="26"/>
      <c r="W25" s="17"/>
      <c r="X25" s="17"/>
      <c r="Y25" s="26"/>
      <c r="Z25" s="17"/>
      <c r="AA25" s="17"/>
      <c r="AB25" s="26"/>
      <c r="AC25" s="17"/>
      <c r="AD25" s="17"/>
    </row>
    <row r="26" spans="1:30" x14ac:dyDescent="0.35">
      <c r="C26" s="65" t="s">
        <v>60</v>
      </c>
      <c r="D26" s="26"/>
      <c r="E26" s="17"/>
      <c r="F26" s="17"/>
      <c r="G26" s="26"/>
      <c r="H26" s="17"/>
      <c r="I26" s="17"/>
      <c r="J26" s="26"/>
      <c r="K26" s="17"/>
      <c r="L26" s="17"/>
      <c r="M26" s="26"/>
      <c r="N26" s="17"/>
      <c r="O26" s="17"/>
      <c r="P26" s="26"/>
      <c r="Q26" s="17"/>
      <c r="R26" s="17"/>
      <c r="S26" s="26"/>
      <c r="T26" s="17"/>
      <c r="U26" s="17"/>
      <c r="V26" s="26"/>
      <c r="W26" s="17"/>
      <c r="X26" s="17"/>
      <c r="Y26" s="26"/>
      <c r="Z26" s="17"/>
      <c r="AA26" s="17"/>
      <c r="AB26" s="26"/>
      <c r="AC26" s="17"/>
      <c r="AD26" s="17"/>
    </row>
    <row r="27" spans="1:30" ht="30.75" customHeight="1" x14ac:dyDescent="0.35">
      <c r="C27" s="147" t="str">
        <f>D12&amp;": Purchased by Sprint on December 17, 2012 as reported in ""Sprint Completes Acquisition of Clearwire,"" Sprint press release, July 9, 2013, on the Sprint website, accessed"&amp;" August 23, 2018, http://newsroom.sprint.com/sprint-completes-acquisition-of-clearwire.htm."</f>
        <v>[5]: Purchased by Sprint on December 17, 2012 as reported in "Sprint Completes Acquisition of Clearwire," Sprint press release, July 9, 2013, on the Sprint website, accessed August 23, 2018, http://newsroom.sprint.com/sprint-completes-acquisition-of-clearwire.htm.</v>
      </c>
      <c r="D27" s="147"/>
      <c r="E27" s="147"/>
      <c r="F27" s="147"/>
      <c r="G27" s="147"/>
      <c r="H27" s="147"/>
      <c r="I27" s="147"/>
      <c r="J27" s="147"/>
      <c r="K27" s="147"/>
      <c r="L27" s="147"/>
      <c r="M27" s="147"/>
      <c r="N27" s="17"/>
      <c r="O27" s="17"/>
      <c r="P27" s="17"/>
      <c r="Q27" s="17"/>
      <c r="R27" s="17"/>
      <c r="S27" s="17"/>
      <c r="T27" s="17"/>
      <c r="U27" s="17"/>
      <c r="V27" s="17"/>
      <c r="W27" s="17"/>
      <c r="X27" s="17"/>
      <c r="Y27" s="17"/>
      <c r="Z27" s="17"/>
      <c r="AA27" s="17"/>
      <c r="AB27" s="17"/>
      <c r="AC27" s="17"/>
      <c r="AD27" s="17"/>
    </row>
    <row r="28" spans="1:30" ht="29.25" customHeight="1" x14ac:dyDescent="0.35">
      <c r="C28" s="147" t="str">
        <f>D13&amp;": Purchased by T-Mobile on October 3, 2012 as reported in Mathew Niknam, Whitney Fletcher, Benjamin Soff, ""Fully Baked: Upside appreciated, risks ricing; downgrade to HOLD,"" Deutsche Bank Markets Research, April 5, 2017, 8, accessed August 23, 2018."</f>
        <v>[6]: Purchased by T-Mobile on October 3, 2012 as reported in Mathew Niknam, Whitney Fletcher, Benjamin Soff, "Fully Baked: Upside appreciated, risks ricing; downgrade to HOLD," Deutsche Bank Markets Research, April 5, 2017, 8, accessed August 23, 2018.</v>
      </c>
      <c r="D28" s="147"/>
      <c r="E28" s="147"/>
      <c r="F28" s="147"/>
      <c r="G28" s="147"/>
      <c r="H28" s="147"/>
      <c r="I28" s="147"/>
      <c r="J28" s="147"/>
      <c r="K28" s="147"/>
      <c r="L28" s="147"/>
      <c r="M28" s="147"/>
      <c r="N28" s="17"/>
      <c r="O28" s="17"/>
      <c r="P28" s="17"/>
      <c r="Q28" s="17"/>
      <c r="R28" s="17"/>
      <c r="S28" s="17"/>
      <c r="T28" s="17"/>
      <c r="U28" s="17"/>
      <c r="V28" s="17"/>
      <c r="W28" s="17"/>
      <c r="X28" s="17"/>
      <c r="Y28" s="17"/>
      <c r="Z28" s="17"/>
      <c r="AA28" s="17"/>
      <c r="AB28" s="17"/>
      <c r="AC28" s="17"/>
      <c r="AD28" s="17"/>
    </row>
    <row r="29" spans="1:30" ht="31.5" customHeight="1" x14ac:dyDescent="0.35">
      <c r="C29" s="147" t="str">
        <f>D14&amp;": Purchased by AT&amp;T on July 12, 2013 as reported in Mathew Niknam, Whitney Fletcher, Benjamin Soff, ""Fully Baked: Upside appreciated, risks ricing; downgrade to HOLD,"" Deutsche Bank Markets Research, April 5, 2017, 8, accessed August 23, 2018."</f>
        <v>[7]: Purchased by AT&amp;T on July 12, 2013 as reported in Mathew Niknam, Whitney Fletcher, Benjamin Soff, "Fully Baked: Upside appreciated, risks ricing; downgrade to HOLD," Deutsche Bank Markets Research, April 5, 2017, 8, accessed August 23, 2018.</v>
      </c>
      <c r="D29" s="147"/>
      <c r="E29" s="147"/>
      <c r="F29" s="147"/>
      <c r="G29" s="147"/>
      <c r="H29" s="147"/>
      <c r="I29" s="147"/>
      <c r="J29" s="147"/>
      <c r="K29" s="147"/>
      <c r="L29" s="147"/>
      <c r="M29" s="147"/>
      <c r="N29" s="17"/>
      <c r="O29" s="17"/>
      <c r="P29" s="17"/>
      <c r="Q29" s="17"/>
      <c r="R29" s="17"/>
      <c r="S29" s="17"/>
      <c r="T29" s="17"/>
      <c r="U29" s="17"/>
      <c r="V29" s="17"/>
      <c r="W29" s="17"/>
      <c r="X29" s="17"/>
      <c r="Y29" s="17"/>
      <c r="Z29" s="17"/>
      <c r="AA29" s="17"/>
      <c r="AB29" s="17"/>
      <c r="AC29" s="17"/>
      <c r="AD29" s="17"/>
    </row>
    <row r="30" spans="1:30" ht="45.75" customHeight="1" x14ac:dyDescent="0.35">
      <c r="C30" s="147" t="str">
        <f>D17&amp;": U.S. retail wireless assets operated under Alltel brand purchased by AT&amp;T on September 10, 2013 as reported"&amp;" in ""AT&amp;T Completes Acquisition of Alltel Assets; Provides Third-Quarter Update on Strong Smartphone and U-verse Sales,"" AT&amp;T"&amp;" press release, September 20, 2013, on the AT&amp;T website, accessed August 23, 2018, https://www.att.com/gen/press-room?pid=24815&amp;cdvn=news&amp;newsarticleid=37011."</f>
        <v>[10]: U.S. retail wireless assets operated under Alltel brand purchased by AT&amp;T on September 10, 2013 as reported in "AT&amp;T Completes Acquisition of Alltel Assets; Provides Third-Quarter Update on Strong Smartphone and U-verse Sales," AT&amp;T press release, September 20, 2013, on the AT&amp;T website, accessed August 23, 2018, https://www.att.com/gen/press-room?pid=24815&amp;cdvn=news&amp;newsarticleid=37011.</v>
      </c>
      <c r="D30" s="147"/>
      <c r="E30" s="147"/>
      <c r="F30" s="147"/>
      <c r="G30" s="147"/>
      <c r="H30" s="147"/>
      <c r="I30" s="147"/>
      <c r="J30" s="147"/>
      <c r="K30" s="147"/>
      <c r="L30" s="147"/>
      <c r="M30" s="147"/>
      <c r="N30" s="41"/>
      <c r="O30" s="41"/>
      <c r="P30" s="41"/>
      <c r="Q30" s="41"/>
      <c r="R30" s="41"/>
      <c r="S30" s="41"/>
      <c r="T30" s="41"/>
      <c r="U30" s="41"/>
      <c r="V30" s="41"/>
      <c r="W30" s="41"/>
      <c r="X30" s="41"/>
      <c r="Y30" s="41"/>
      <c r="Z30" s="41"/>
      <c r="AA30" s="41"/>
      <c r="AB30" s="41"/>
      <c r="AC30" s="41"/>
      <c r="AD30" s="41"/>
    </row>
    <row r="31" spans="1:30" ht="45" customHeight="1" x14ac:dyDescent="0.35">
      <c r="C31" s="149" t="str">
        <f>D18&amp;": Spectrum purchased by Verizon Wireless on April 7, 2014 as reported in Phil Goldstein, ""Cincinnati Bell quits wireless business, will sell spectrum to Verizon for $210M,"" Fierce Wireless, A"&amp;"pril 7, 2014, acccessed August 23, 2018, https://www.fiercewireless.com/wireless/cincinnati-bell-quits-wireless-business-will-sell-spectrum-to-verizon-for-210m."</f>
        <v>[11]: Spectrum purchased by Verizon Wireless on April 7, 2014 as reported in Phil Goldstein, "Cincinnati Bell quits wireless business, will sell spectrum to Verizon for $210M," Fierce Wireless, April 7, 2014, acccessed August 23, 2018, https://www.fiercewireless.com/wireless/cincinnati-bell-quits-wireless-business-will-sell-spectrum-to-verizon-for-210m.</v>
      </c>
      <c r="D31" s="149"/>
      <c r="E31" s="149"/>
      <c r="F31" s="149"/>
      <c r="G31" s="149"/>
      <c r="H31" s="149"/>
      <c r="I31" s="149"/>
      <c r="J31" s="149"/>
      <c r="K31" s="149"/>
      <c r="L31" s="149"/>
      <c r="M31" s="149"/>
      <c r="N31" s="66"/>
      <c r="O31" s="66"/>
      <c r="P31" s="66"/>
      <c r="Q31" s="66"/>
      <c r="R31" s="66"/>
      <c r="S31" s="66"/>
      <c r="T31" s="66"/>
      <c r="U31" s="66"/>
      <c r="V31" s="66"/>
      <c r="W31" s="66"/>
      <c r="X31" s="66"/>
      <c r="Y31" s="66"/>
      <c r="Z31" s="66"/>
      <c r="AA31" s="66"/>
      <c r="AB31" s="66"/>
      <c r="AC31" s="66"/>
      <c r="AD31" s="66"/>
    </row>
    <row r="32" spans="1:30" ht="47.25" customHeight="1" x14ac:dyDescent="0.35">
      <c r="C32" s="147" t="str">
        <f>D19&amp;": Purchased by Shenandoah Telecommunications (an affiliate of Sprint) on August 10, 2015 as reported in Phil Goldstein, ""Sprint affiliate Shentel buys fellow wholesale partner nTelos for $640M,"" Fierce Wireless"&amp;", August 10, 2015, accessed August 23, 2018, https://www.fiercewireless.com/wireless/sprint-affiliate-shentel-buys-fellow-wholesale-partner-ntelos-for-640m."</f>
        <v>[12]: Purchased by Shenandoah Telecommunications (an affiliate of Sprint) on August 10, 2015 as reported in Phil Goldstein, "Sprint affiliate Shentel buys fellow wholesale partner nTelos for $640M," Fierce Wireless, August 10, 2015, accessed August 23, 2018, https://www.fiercewireless.com/wireless/sprint-affiliate-shentel-buys-fellow-wholesale-partner-ntelos-for-640m.</v>
      </c>
      <c r="D32" s="147"/>
      <c r="E32" s="147"/>
      <c r="F32" s="147"/>
      <c r="G32" s="147"/>
      <c r="H32" s="147"/>
      <c r="I32" s="147"/>
      <c r="J32" s="147"/>
      <c r="K32" s="147"/>
      <c r="L32" s="147"/>
      <c r="M32" s="147"/>
      <c r="N32" s="41"/>
      <c r="O32" s="41"/>
      <c r="P32" s="41"/>
      <c r="Q32" s="41"/>
      <c r="R32" s="41"/>
      <c r="S32" s="41"/>
      <c r="T32" s="41"/>
      <c r="U32" s="41"/>
      <c r="V32" s="41"/>
      <c r="W32" s="41"/>
      <c r="X32" s="41"/>
      <c r="Y32" s="41"/>
      <c r="Z32" s="41"/>
      <c r="AA32" s="41"/>
      <c r="AB32" s="41"/>
      <c r="AC32" s="41"/>
      <c r="AD32" s="41"/>
    </row>
    <row r="33" spans="3:30" ht="29.25" customHeight="1" x14ac:dyDescent="0.35">
      <c r="C33" s="147" t="str">
        <f>D21&amp;": For 2008 through 2011, sum of estimated connections for all providers for each year. For 2012 through 2016, estimated total connections as reported in 19th and 20th FCC reports. "&amp;"The estimated total connections equal the sum of estimated connections for all providers in these years as well."</f>
        <v>[13]: For 2008 through 2011, sum of estimated connections for all providers for each year. For 2012 through 2016, estimated total connections as reported in 19th and 20th FCC reports. The estimated total connections equal the sum of estimated connections for all providers in these years as well.</v>
      </c>
      <c r="D33" s="147"/>
      <c r="E33" s="147"/>
      <c r="F33" s="147"/>
      <c r="G33" s="147"/>
      <c r="H33" s="147"/>
      <c r="I33" s="147"/>
      <c r="J33" s="147"/>
      <c r="K33" s="147"/>
      <c r="L33" s="147"/>
      <c r="M33" s="147"/>
      <c r="N33" s="17"/>
      <c r="O33" s="17"/>
      <c r="P33" s="17"/>
      <c r="Q33" s="17"/>
      <c r="R33" s="17"/>
      <c r="S33" s="17"/>
      <c r="T33" s="17"/>
      <c r="U33" s="17"/>
      <c r="V33" s="17"/>
      <c r="W33" s="17"/>
      <c r="X33" s="17"/>
      <c r="Y33" s="17"/>
      <c r="Z33" s="17"/>
      <c r="AA33" s="17"/>
      <c r="AB33" s="17"/>
      <c r="AC33" s="17"/>
      <c r="AD33" s="17"/>
    </row>
  </sheetData>
  <mergeCells count="8">
    <mergeCell ref="C32:M32"/>
    <mergeCell ref="C33:M33"/>
    <mergeCell ref="C24:M24"/>
    <mergeCell ref="C27:M27"/>
    <mergeCell ref="C28:M28"/>
    <mergeCell ref="C29:M29"/>
    <mergeCell ref="C30:M30"/>
    <mergeCell ref="C31:M31"/>
  </mergeCells>
  <printOptions horizontalCentered="1"/>
  <pageMargins left="0.7" right="0.7" top="0.75" bottom="0.75" header="0.3" footer="0.3"/>
  <pageSetup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38"/>
  <sheetViews>
    <sheetView topLeftCell="D4" zoomScaleNormal="100" zoomScaleSheetLayoutView="100" workbookViewId="0">
      <selection activeCell="E33" sqref="E33:AF33"/>
    </sheetView>
  </sheetViews>
  <sheetFormatPr defaultColWidth="11.54296875" defaultRowHeight="14.5" outlineLevelRow="1" outlineLevelCol="1" x14ac:dyDescent="0.35"/>
  <cols>
    <col min="1" max="1" width="11.81640625" style="18" hidden="1" customWidth="1" outlineLevel="1"/>
    <col min="2" max="3" width="11.54296875" style="18" hidden="1" customWidth="1" outlineLevel="1"/>
    <col min="4" max="4" width="11.54296875" style="34" collapsed="1"/>
    <col min="5" max="5" width="33.26953125" customWidth="1"/>
    <col min="6" max="6" width="4" customWidth="1"/>
    <col min="7" max="7" width="12.7265625" customWidth="1"/>
    <col min="9" max="9" width="2" customWidth="1"/>
    <col min="10" max="10" width="13.453125" customWidth="1"/>
    <col min="12" max="12" width="2.26953125" customWidth="1"/>
    <col min="13" max="13" width="13" customWidth="1"/>
    <col min="15" max="15" width="2.26953125" customWidth="1"/>
    <col min="16" max="16" width="13.26953125" customWidth="1"/>
    <col min="18" max="18" width="2.54296875" customWidth="1"/>
    <col min="19" max="19" width="12.7265625" customWidth="1"/>
    <col min="21" max="21" width="2.453125" customWidth="1"/>
    <col min="22" max="22" width="12.54296875" customWidth="1"/>
    <col min="24" max="24" width="2.26953125" customWidth="1"/>
    <col min="25" max="25" width="13" customWidth="1"/>
    <col min="27" max="27" width="2.26953125" customWidth="1"/>
    <col min="28" max="28" width="13.453125" customWidth="1"/>
    <col min="30" max="30" width="2.54296875" customWidth="1"/>
    <col min="31" max="31" width="13" customWidth="1"/>
  </cols>
  <sheetData>
    <row r="1" spans="1:41" s="18" customFormat="1" ht="15" outlineLevel="1" x14ac:dyDescent="0.25">
      <c r="H1" s="18" t="str">
        <f>G7&amp;H9</f>
        <v>2008Market Share</v>
      </c>
      <c r="K1" s="18" t="str">
        <f>J7&amp;K9</f>
        <v>2009Market Share</v>
      </c>
      <c r="N1" s="18" t="str">
        <f>M7&amp;N9</f>
        <v>2010Market Share</v>
      </c>
      <c r="Q1" s="18" t="str">
        <f>P7&amp;Q9</f>
        <v>2011Market Share</v>
      </c>
      <c r="T1" s="18" t="str">
        <f>S7&amp;T9</f>
        <v>2012Market Share</v>
      </c>
      <c r="W1" s="18" t="str">
        <f>V7&amp;W9</f>
        <v>2013Market Share</v>
      </c>
      <c r="Z1" s="18" t="str">
        <f>Y7&amp;Z9</f>
        <v>2014Market Share</v>
      </c>
      <c r="AC1" s="18" t="str">
        <f>AB7&amp;AC9</f>
        <v>2015Market Share</v>
      </c>
      <c r="AF1" s="18" t="str">
        <f>AE7&amp;AF9</f>
        <v>2016Market Share</v>
      </c>
    </row>
    <row r="3" spans="1:41" s="17" customFormat="1" ht="24" customHeight="1" x14ac:dyDescent="0.45">
      <c r="A3" s="14"/>
      <c r="B3" s="14"/>
      <c r="C3" s="14" t="e">
        <f>NA()</f>
        <v>#N/A</v>
      </c>
      <c r="D3" s="41"/>
      <c r="E3" s="67" t="s">
        <v>61</v>
      </c>
      <c r="F3" s="15"/>
      <c r="G3" s="15"/>
      <c r="H3" s="15"/>
      <c r="I3" s="15"/>
      <c r="J3" s="15"/>
      <c r="K3" s="15"/>
      <c r="L3" s="15"/>
      <c r="M3" s="15"/>
      <c r="N3" s="15"/>
      <c r="O3" s="15"/>
      <c r="P3" s="15"/>
      <c r="Q3" s="15"/>
      <c r="R3" s="15"/>
      <c r="S3" s="15"/>
      <c r="T3" s="15"/>
      <c r="U3" s="15"/>
      <c r="V3" s="15"/>
      <c r="W3" s="15"/>
      <c r="X3" s="15"/>
      <c r="Y3" s="15"/>
      <c r="Z3" s="15"/>
      <c r="AA3" s="15"/>
      <c r="AB3" s="15"/>
      <c r="AC3" s="15"/>
      <c r="AD3" s="15"/>
      <c r="AE3" s="15"/>
      <c r="AF3" s="16"/>
      <c r="AG3"/>
      <c r="AH3"/>
      <c r="AI3"/>
      <c r="AJ3"/>
      <c r="AK3" s="16"/>
      <c r="AL3" s="16"/>
      <c r="AM3" s="16"/>
      <c r="AN3" s="16"/>
    </row>
    <row r="4" spans="1:41" s="17" customFormat="1" ht="18.649999999999999" x14ac:dyDescent="0.45">
      <c r="A4" s="14"/>
      <c r="B4" s="14"/>
      <c r="C4" s="14">
        <f>IFERROR(C3,0)</f>
        <v>0</v>
      </c>
      <c r="D4" s="41"/>
      <c r="E4" s="68" t="s">
        <v>62</v>
      </c>
      <c r="F4" s="15"/>
      <c r="G4" s="15"/>
      <c r="H4" s="15"/>
      <c r="I4" s="15"/>
      <c r="J4" s="15"/>
      <c r="K4" s="15"/>
      <c r="L4" s="15"/>
      <c r="M4" s="15"/>
      <c r="N4" s="15"/>
      <c r="O4" s="15"/>
      <c r="P4" s="15"/>
      <c r="Q4" s="15"/>
      <c r="R4" s="15"/>
      <c r="S4" s="15"/>
      <c r="T4" s="15"/>
      <c r="U4" s="15"/>
      <c r="V4" s="15"/>
      <c r="W4" s="15"/>
      <c r="X4" s="15"/>
      <c r="Y4" s="15"/>
      <c r="Z4" s="15"/>
      <c r="AA4" s="15"/>
      <c r="AB4" s="15"/>
      <c r="AC4" s="15"/>
      <c r="AD4" s="15"/>
      <c r="AE4" s="15"/>
      <c r="AF4" s="16"/>
      <c r="AG4" s="34"/>
      <c r="AH4"/>
      <c r="AI4"/>
      <c r="AJ4" s="34"/>
      <c r="AK4" s="16"/>
      <c r="AL4" s="16"/>
      <c r="AM4" s="16"/>
      <c r="AN4" s="16"/>
    </row>
    <row r="5" spans="1:41" ht="6" customHeight="1" thickBot="1" x14ac:dyDescent="0.5">
      <c r="E5" s="19"/>
      <c r="F5" s="19"/>
      <c r="G5" s="20"/>
      <c r="H5" s="20"/>
      <c r="I5" s="19"/>
      <c r="J5" s="20"/>
      <c r="K5" s="20"/>
      <c r="L5" s="19"/>
      <c r="M5" s="20"/>
      <c r="N5" s="20"/>
      <c r="O5" s="19"/>
      <c r="P5" s="20"/>
      <c r="Q5" s="20"/>
      <c r="R5" s="19"/>
      <c r="S5" s="20"/>
      <c r="T5" s="20"/>
      <c r="U5" s="19"/>
      <c r="V5" s="20"/>
      <c r="W5" s="20"/>
      <c r="X5" s="19"/>
      <c r="Y5" s="20"/>
      <c r="Z5" s="20"/>
      <c r="AA5" s="19"/>
      <c r="AB5" s="20"/>
      <c r="AC5" s="20"/>
      <c r="AD5" s="19"/>
      <c r="AE5" s="20"/>
      <c r="AF5" s="20"/>
      <c r="AG5" s="21"/>
      <c r="AH5" s="21"/>
      <c r="AI5" s="21"/>
      <c r="AJ5" s="21"/>
      <c r="AK5" s="21"/>
      <c r="AL5" s="21"/>
      <c r="AM5" s="21"/>
      <c r="AN5" s="21"/>
    </row>
    <row r="6" spans="1:41" ht="6" customHeight="1" thickTop="1" x14ac:dyDescent="0.45">
      <c r="E6" s="22"/>
      <c r="F6" s="22"/>
      <c r="G6" s="21"/>
      <c r="H6" s="21"/>
      <c r="I6" s="22"/>
      <c r="J6" s="21"/>
      <c r="K6" s="21"/>
      <c r="L6" s="22"/>
      <c r="M6" s="21"/>
      <c r="N6" s="21"/>
      <c r="O6" s="22"/>
      <c r="P6" s="21"/>
      <c r="Q6" s="21"/>
      <c r="R6" s="22"/>
      <c r="S6" s="21"/>
      <c r="T6" s="21"/>
      <c r="U6" s="22"/>
      <c r="V6" s="21"/>
      <c r="W6" s="21"/>
      <c r="X6" s="22"/>
      <c r="Y6" s="21"/>
      <c r="Z6" s="21"/>
      <c r="AA6" s="22"/>
      <c r="AB6" s="21"/>
      <c r="AC6" s="21"/>
      <c r="AD6" s="22"/>
      <c r="AE6" s="21"/>
      <c r="AF6" s="21"/>
      <c r="AG6" s="21"/>
      <c r="AH6" s="21"/>
      <c r="AI6" s="21"/>
      <c r="AJ6" s="21"/>
      <c r="AK6" s="21"/>
      <c r="AL6" s="21"/>
      <c r="AM6" s="21"/>
      <c r="AN6" s="21"/>
    </row>
    <row r="7" spans="1:41" ht="15" customHeight="1" x14ac:dyDescent="0.35">
      <c r="E7" s="69"/>
      <c r="F7" s="8"/>
      <c r="G7" s="70">
        <v>2008</v>
      </c>
      <c r="H7" s="70"/>
      <c r="I7" s="69"/>
      <c r="J7" s="70">
        <v>2009</v>
      </c>
      <c r="K7" s="70"/>
      <c r="L7" s="69"/>
      <c r="M7" s="70">
        <v>2010</v>
      </c>
      <c r="N7" s="70"/>
      <c r="O7" s="69"/>
      <c r="P7" s="70">
        <v>2011</v>
      </c>
      <c r="Q7" s="70"/>
      <c r="R7" s="69"/>
      <c r="S7" s="70">
        <v>2012</v>
      </c>
      <c r="T7" s="70"/>
      <c r="U7" s="69"/>
      <c r="V7" s="70">
        <v>2013</v>
      </c>
      <c r="W7" s="70"/>
      <c r="X7" s="69"/>
      <c r="Y7" s="70">
        <v>2014</v>
      </c>
      <c r="Z7" s="70"/>
      <c r="AA7" s="69"/>
      <c r="AB7" s="70">
        <v>2015</v>
      </c>
      <c r="AC7" s="70"/>
      <c r="AD7" s="69"/>
      <c r="AE7" s="70">
        <v>2016</v>
      </c>
      <c r="AF7" s="70"/>
      <c r="AG7" s="34"/>
    </row>
    <row r="8" spans="1:41" ht="6" customHeight="1" x14ac:dyDescent="0.35">
      <c r="E8" s="36"/>
      <c r="F8" s="10"/>
      <c r="G8" s="71"/>
      <c r="H8" s="71"/>
      <c r="I8" s="36"/>
      <c r="J8" s="71"/>
      <c r="K8" s="71"/>
      <c r="L8" s="36"/>
      <c r="M8" s="71"/>
      <c r="N8" s="71"/>
      <c r="O8" s="36"/>
      <c r="P8" s="71"/>
      <c r="Q8" s="71"/>
      <c r="R8" s="36"/>
      <c r="S8" s="71"/>
      <c r="T8" s="71"/>
      <c r="U8" s="36"/>
      <c r="V8" s="71"/>
      <c r="W8" s="71"/>
      <c r="X8" s="36"/>
      <c r="Y8" s="71"/>
      <c r="Z8" s="71"/>
      <c r="AA8" s="36"/>
      <c r="AB8" s="71"/>
      <c r="AC8" s="71"/>
      <c r="AD8" s="36"/>
      <c r="AE8" s="71"/>
      <c r="AF8" s="71"/>
      <c r="AG8" s="34"/>
    </row>
    <row r="9" spans="1:41" ht="45" customHeight="1" x14ac:dyDescent="0.35">
      <c r="E9" s="72"/>
      <c r="F9" s="44"/>
      <c r="G9" s="37" t="s">
        <v>63</v>
      </c>
      <c r="H9" s="37" t="s">
        <v>64</v>
      </c>
      <c r="I9" s="72"/>
      <c r="J9" s="37" t="s">
        <v>63</v>
      </c>
      <c r="K9" s="37" t="s">
        <v>64</v>
      </c>
      <c r="L9" s="72"/>
      <c r="M9" s="37" t="s">
        <v>63</v>
      </c>
      <c r="N9" s="37" t="s">
        <v>64</v>
      </c>
      <c r="O9" s="72"/>
      <c r="P9" s="37" t="s">
        <v>63</v>
      </c>
      <c r="Q9" s="37" t="s">
        <v>64</v>
      </c>
      <c r="R9" s="72"/>
      <c r="S9" s="37" t="s">
        <v>63</v>
      </c>
      <c r="T9" s="37" t="s">
        <v>64</v>
      </c>
      <c r="U9" s="72"/>
      <c r="V9" s="37" t="s">
        <v>63</v>
      </c>
      <c r="W9" s="37" t="s">
        <v>64</v>
      </c>
      <c r="X9" s="72"/>
      <c r="Y9" s="37" t="s">
        <v>63</v>
      </c>
      <c r="Z9" s="37" t="s">
        <v>64</v>
      </c>
      <c r="AA9" s="72"/>
      <c r="AB9" s="37" t="s">
        <v>63</v>
      </c>
      <c r="AC9" s="37" t="s">
        <v>64</v>
      </c>
      <c r="AD9" s="72"/>
      <c r="AE9" s="37" t="s">
        <v>63</v>
      </c>
      <c r="AF9" s="37" t="s">
        <v>64</v>
      </c>
      <c r="AG9" s="34"/>
    </row>
    <row r="10" spans="1:41" ht="6" customHeight="1" x14ac:dyDescent="0.35">
      <c r="E10" s="34"/>
    </row>
    <row r="11" spans="1:41" x14ac:dyDescent="0.35">
      <c r="A11" s="18" t="s">
        <v>1</v>
      </c>
      <c r="B11" s="18">
        <v>1</v>
      </c>
      <c r="E11" t="s">
        <v>1</v>
      </c>
      <c r="F11" s="23" t="str">
        <f t="shared" ref="F11:F22" si="0">"["&amp;B11&amp;"]"</f>
        <v>[1]</v>
      </c>
      <c r="G11" s="12">
        <f>IF(OR(INDEX('FCC 16 Connections'!$1:$1048576,MATCH("*"&amp;'Connections and Market Shares'!$A11&amp;"*",'FCC 16 Connections'!$B:$B,0),MATCH('Connections and Market Shares'!G$7,'FCC 16 Connections'!$6:$6,0))="*",INDEX('FCC 16 Connections'!$1:$1048576,MATCH("*"&amp;'Connections and Market Shares'!$A11&amp;"*",'FCC 16 Connections'!$B:$B,0),MATCH('Connections and Market Shares'!G$7,'FCC 16 Connections'!$6:$6,0))="NA"),"",INDEX('FCC 16 Connections'!$1:$1048576,MATCH("*"&amp;'Connections and Market Shares'!$A11&amp;"*",'FCC 16 Connections'!$B:$B,0),MATCH('Connections and Market Shares'!G$7,'FCC 16 Connections'!$6:$6,0)))</f>
        <v>77009</v>
      </c>
      <c r="H11" s="43">
        <f>IFERROR(G11/G$24,"")</f>
        <v>0.31073316386232497</v>
      </c>
      <c r="J11" s="12">
        <f>IF(OR(INDEX('FCC 16 Connections'!$1:$1048576,MATCH("*"&amp;'Connections and Market Shares'!$A11&amp;"*",'FCC 16 Connections'!$B:$B,0),MATCH('Connections and Market Shares'!J$7,'FCC 16 Connections'!$6:$6,0))="*",INDEX('FCC 16 Connections'!$1:$1048576,MATCH("*"&amp;'Connections and Market Shares'!$A11&amp;"*",'FCC 16 Connections'!$B:$B,0),MATCH('Connections and Market Shares'!J$7,'FCC 16 Connections'!$6:$6,0))="NA"),"",INDEX('FCC 16 Connections'!$1:$1048576,MATCH("*"&amp;'Connections and Market Shares'!$A11&amp;"*",'FCC 16 Connections'!$B:$B,0),MATCH('Connections and Market Shares'!J$7,'FCC 16 Connections'!$6:$6,0)))</f>
        <v>85120</v>
      </c>
      <c r="K11" s="43">
        <f>IFERROR(J11/J$24,"")</f>
        <v>0.31215734020822716</v>
      </c>
      <c r="M11" s="12">
        <f>IF(OR(INDEX('FCC 16 Connections'!$1:$1048576,MATCH("*"&amp;'Connections and Market Shares'!$A11&amp;"*",'FCC 16 Connections'!$B:$B,0),MATCH('Connections and Market Shares'!M$7,'FCC 16 Connections'!$6:$6,0))="*",INDEX('FCC 16 Connections'!$1:$1048576,MATCH("*"&amp;'Connections and Market Shares'!$A11&amp;"*",'FCC 16 Connections'!$B:$B,0),MATCH('Connections and Market Shares'!M$7,'FCC 16 Connections'!$6:$6,0))="NA"),"",INDEX('FCC 16 Connections'!$1:$1048576,MATCH("*"&amp;'Connections and Market Shares'!$A11&amp;"*",'FCC 16 Connections'!$B:$B,0),MATCH('Connections and Market Shares'!M$7,'FCC 16 Connections'!$6:$6,0)))</f>
        <v>95536</v>
      </c>
      <c r="N11" s="43">
        <f>IFERROR(M11/M$24,"")</f>
        <v>0.32553923740075646</v>
      </c>
      <c r="P11" s="12">
        <f>IF(OR(INDEX('FCC 16 Connections'!$1:$1048576,MATCH("*"&amp;'Connections and Market Shares'!$A11&amp;"*",'FCC 16 Connections'!$B:$B,0),MATCH('Connections and Market Shares'!P$7,'FCC 16 Connections'!$6:$6,0))="*",INDEX('FCC 16 Connections'!$1:$1048576,MATCH("*"&amp;'Connections and Market Shares'!$A11&amp;"*",'FCC 16 Connections'!$B:$B,0),MATCH('Connections and Market Shares'!P$7,'FCC 16 Connections'!$6:$6,0))="NA"),"",INDEX('FCC 16 Connections'!$1:$1048576,MATCH("*"&amp;'Connections and Market Shares'!$A11&amp;"*",'FCC 16 Connections'!$B:$B,0),MATCH('Connections and Market Shares'!P$7,'FCC 16 Connections'!$6:$6,0)))</f>
        <v>103247</v>
      </c>
      <c r="Q11" s="43">
        <f>IFERROR(P11/P$24,"")</f>
        <v>0.32604693317501571</v>
      </c>
      <c r="S11" s="29">
        <f>IF(OR(INDEX('FCC 19 Connections'!$1:$1048576,MATCH("*"&amp;'Connections and Market Shares'!$A11&amp;"*",'FCC 19 Connections'!$B:$B,0),MATCH('Connections and Market Shares'!S$7,'FCC 19 Connections'!$1:$1,0))="*",INDEX('FCC 19 Connections'!$1:$1048576,MATCH("*"&amp;'Connections and Market Shares'!$A11&amp;"*",'FCC 19 Connections'!$B:$B,0),MATCH('Connections and Market Shares'!S$7,'FCC 19 Connections'!$1:$1,0))="NA"),"",INDEX('FCC 19 Connections'!$1:$1048576,MATCH("*"&amp;'Connections and Market Shares'!$A11&amp;"*",'FCC 19 Connections'!$B:$B,0),MATCH('Connections and Market Shares'!S$7,'FCC 19 Connections'!$1:$1,0)))</f>
        <v>106965</v>
      </c>
      <c r="T11" s="43">
        <f>IFERROR(S11/S$24,"")</f>
        <v>0.3238625525691915</v>
      </c>
      <c r="V11" s="29">
        <f>IF(OR(INDEX('FCC 20 Connections'!$1:$1048576,MATCH("*"&amp;'Connections and Market Shares'!$A11&amp;"*",'FCC 20 Connections'!$B:$B,0),MATCH('Connections and Market Shares'!V$7,'FCC 20 Connections'!$1:$1,0))="*",INDEX('FCC 20 Connections'!$1:$1048576,MATCH("*"&amp;'Connections and Market Shares'!$A11&amp;"*",'FCC 20 Connections'!$B:$B,0),MATCH('Connections and Market Shares'!V$7,'FCC 20 Connections'!$1:$1,0))="NA"),"",INDEX('FCC 20 Connections'!$1:$1048576,MATCH("*"&amp;'Connections and Market Shares'!$A11&amp;"*",'FCC 20 Connections'!$B:$B,0),MATCH('Connections and Market Shares'!V$7,'FCC 20 Connections'!$1:$1,0)))</f>
        <v>110276</v>
      </c>
      <c r="W11" s="43">
        <f>IFERROR(V11/V$24,"")</f>
        <v>0.31757221804652019</v>
      </c>
      <c r="Y11" s="29">
        <f>IF(OR(INDEX('FCC 20 Connections'!$1:$1048576,MATCH("*"&amp;'Connections and Market Shares'!$A11&amp;"*",'FCC 20 Connections'!$B:$B,0),MATCH('Connections and Market Shares'!Y$7,'FCC 20 Connections'!$1:$1,0))="*",INDEX('FCC 20 Connections'!$1:$1048576,MATCH("*"&amp;'Connections and Market Shares'!$A11&amp;"*",'FCC 20 Connections'!$B:$B,0),MATCH('Connections and Market Shares'!Y$7,'FCC 20 Connections'!$1:$1,0))="NA"),"",INDEX('FCC 20 Connections'!$1:$1048576,MATCH("*"&amp;'Connections and Market Shares'!$A11&amp;"*",'FCC 20 Connections'!$B:$B,0),MATCH('Connections and Market Shares'!Y$7,'FCC 20 Connections'!$1:$1,0)))</f>
        <v>120620</v>
      </c>
      <c r="Z11" s="43">
        <f>IFERROR(Y11/Y$24,"")</f>
        <v>0.3247099361994239</v>
      </c>
      <c r="AB11" s="29">
        <f>IF(OR(INDEX('FCC 20 Connections'!$1:$1048576,MATCH("*"&amp;'Connections and Market Shares'!$A11&amp;"*",'FCC 20 Connections'!$B:$B,0),MATCH('Connections and Market Shares'!AB$7,'FCC 20 Connections'!$1:$1,0))="*",INDEX('FCC 20 Connections'!$1:$1048576,MATCH("*"&amp;'Connections and Market Shares'!$A11&amp;"*",'FCC 20 Connections'!$B:$B,0),MATCH('Connections and Market Shares'!AB$7,'FCC 20 Connections'!$1:$1,0))="NA"),"",INDEX('FCC 20 Connections'!$1:$1048576,MATCH("*"&amp;'Connections and Market Shares'!$A11&amp;"*",'FCC 20 Connections'!$B:$B,0),MATCH('Connections and Market Shares'!AB$7,'FCC 20 Connections'!$1:$1,0)))</f>
        <v>128679</v>
      </c>
      <c r="AC11" s="43">
        <f>IFERROR(AB11/AB$24,"")</f>
        <v>0.3244185606776841</v>
      </c>
      <c r="AE11" s="29">
        <f>IF(OR(INDEX('FCC 20 Connections'!$1:$1048576,MATCH("*"&amp;'Connections and Market Shares'!$A11&amp;"*",'FCC 20 Connections'!$B:$B,0),MATCH('Connections and Market Shares'!AE$7,'FCC 20 Connections'!$1:$1,0))="*",INDEX('FCC 20 Connections'!$1:$1048576,MATCH("*"&amp;'Connections and Market Shares'!$A11&amp;"*",'FCC 20 Connections'!$B:$B,0),MATCH('Connections and Market Shares'!AE$7,'FCC 20 Connections'!$1:$1,0))="NA"),"",INDEX('FCC 20 Connections'!$1:$1048576,MATCH("*"&amp;'Connections and Market Shares'!$A11&amp;"*",'FCC 20 Connections'!$B:$B,0),MATCH('Connections and Market Shares'!AE$7,'FCC 20 Connections'!$1:$1,0)))</f>
        <v>134875</v>
      </c>
      <c r="AF11" s="43">
        <f>IFERROR(AE11/AE$24,"")</f>
        <v>0.3236096481862264</v>
      </c>
      <c r="AG11" s="24"/>
      <c r="AH11" s="24"/>
      <c r="AI11" s="24"/>
      <c r="AK11" s="24"/>
      <c r="AL11" s="24"/>
      <c r="AM11" s="24"/>
      <c r="AN11" s="24"/>
      <c r="AO11" s="24"/>
    </row>
    <row r="12" spans="1:41" x14ac:dyDescent="0.35">
      <c r="A12" s="18" t="s">
        <v>4</v>
      </c>
      <c r="B12" s="18">
        <f>MAX($B$11:B11)+1</f>
        <v>2</v>
      </c>
      <c r="E12" t="s">
        <v>92</v>
      </c>
      <c r="F12" s="23" t="str">
        <f t="shared" si="0"/>
        <v>[2]</v>
      </c>
      <c r="G12" s="12">
        <f>IF(OR(INDEX('FCC 16 Connections'!$1:$1048576,MATCH("*"&amp;'Connections and Market Shares'!$A12&amp;"*",'FCC 16 Connections'!$B:$B,0),MATCH('Connections and Market Shares'!G$7,'FCC 16 Connections'!$6:$6,0))="*",INDEX('FCC 16 Connections'!$1:$1048576,MATCH("*"&amp;'Connections and Market Shares'!$A12&amp;"*",'FCC 16 Connections'!$B:$B,0),MATCH('Connections and Market Shares'!G$7,'FCC 16 Connections'!$6:$6,0))="NA"),"",INDEX('FCC 16 Connections'!$1:$1048576,MATCH("*"&amp;'Connections and Market Shares'!$A12&amp;"*",'FCC 16 Connections'!$B:$B,0),MATCH('Connections and Market Shares'!G$7,'FCC 16 Connections'!$6:$6,0)))</f>
        <v>72056</v>
      </c>
      <c r="H12" s="43">
        <f t="shared" ref="H12:H22" si="1">IFERROR(G12/G$24,"")</f>
        <v>0.29074768994875522</v>
      </c>
      <c r="J12" s="12">
        <f>IF(OR(INDEX('FCC 16 Connections'!$1:$1048576,MATCH("*"&amp;'Connections and Market Shares'!$A12&amp;"*",'FCC 16 Connections'!$B:$B,0),MATCH('Connections and Market Shares'!J$7,'FCC 16 Connections'!$6:$6,0))="*",INDEX('FCC 16 Connections'!$1:$1048576,MATCH("*"&amp;'Connections and Market Shares'!$A12&amp;"*",'FCC 16 Connections'!$B:$B,0),MATCH('Connections and Market Shares'!J$7,'FCC 16 Connections'!$6:$6,0))="NA"),"",INDEX('FCC 16 Connections'!$1:$1048576,MATCH("*"&amp;'Connections and Market Shares'!$A12&amp;"*",'FCC 16 Connections'!$B:$B,0),MATCH('Connections and Market Shares'!J$7,'FCC 16 Connections'!$6:$6,0)))</f>
        <v>85445</v>
      </c>
      <c r="K12" s="43">
        <f t="shared" ref="K12:K15" si="2">IFERROR(J12/J$24,"")</f>
        <v>0.31334920035352404</v>
      </c>
      <c r="M12" s="12">
        <f>IF(OR(INDEX('FCC 16 Connections'!$1:$1048576,MATCH("*"&amp;'Connections and Market Shares'!$A12&amp;"*",'FCC 16 Connections'!$B:$B,0),MATCH('Connections and Market Shares'!M$7,'FCC 16 Connections'!$6:$6,0))="*",INDEX('FCC 16 Connections'!$1:$1048576,MATCH("*"&amp;'Connections and Market Shares'!$A12&amp;"*",'FCC 16 Connections'!$B:$B,0),MATCH('Connections and Market Shares'!M$7,'FCC 16 Connections'!$6:$6,0))="NA"),"",INDEX('FCC 16 Connections'!$1:$1048576,MATCH("*"&amp;'Connections and Market Shares'!$A12&amp;"*",'FCC 16 Connections'!$B:$B,0),MATCH('Connections and Market Shares'!M$7,'FCC 16 Connections'!$6:$6,0)))</f>
        <v>87535</v>
      </c>
      <c r="N12" s="43">
        <f t="shared" ref="N12:N22" si="3">IFERROR(M12/M$24,"")</f>
        <v>0.29827580331890824</v>
      </c>
      <c r="P12" s="12">
        <f>IF(OR(INDEX('FCC 16 Connections'!$1:$1048576,MATCH("*"&amp;'Connections and Market Shares'!$A12&amp;"*",'FCC 16 Connections'!$B:$B,0),MATCH('Connections and Market Shares'!P$7,'FCC 16 Connections'!$6:$6,0))="*",INDEX('FCC 16 Connections'!$1:$1048576,MATCH("*"&amp;'Connections and Market Shares'!$A12&amp;"*",'FCC 16 Connections'!$B:$B,0),MATCH('Connections and Market Shares'!P$7,'FCC 16 Connections'!$6:$6,0))="NA"),"",INDEX('FCC 16 Connections'!$1:$1048576,MATCH("*"&amp;'Connections and Market Shares'!$A12&amp;"*",'FCC 16 Connections'!$B:$B,0),MATCH('Connections and Market Shares'!P$7,'FCC 16 Connections'!$6:$6,0)))</f>
        <v>92167</v>
      </c>
      <c r="Q12" s="43">
        <f t="shared" ref="Q12:Q22" si="4">IFERROR(P12/P$24,"")</f>
        <v>0.29105705434483981</v>
      </c>
      <c r="S12" s="29">
        <f>IF(OR(INDEX('FCC 19 Connections'!$1:$1048576,MATCH("*"&amp;'Connections and Market Shares'!$A12&amp;"*",'FCC 19 Connections'!$B:$B,0),MATCH('Connections and Market Shares'!S$7,'FCC 19 Connections'!$1:$1,0))="*",INDEX('FCC 19 Connections'!$1:$1048576,MATCH("*"&amp;'Connections and Market Shares'!$A12&amp;"*",'FCC 19 Connections'!$B:$B,0),MATCH('Connections and Market Shares'!S$7,'FCC 19 Connections'!$1:$1,0))="NA"),"",INDEX('FCC 19 Connections'!$1:$1048576,MATCH("*"&amp;'Connections and Market Shares'!$A12&amp;"*",'FCC 19 Connections'!$B:$B,0),MATCH('Connections and Market Shares'!S$7,'FCC 19 Connections'!$1:$1,0)))</f>
        <v>116570</v>
      </c>
      <c r="T12" s="43">
        <f t="shared" ref="T12:T22" si="5">IFERROR(S12/S$24,"")</f>
        <v>0.35294402611125747</v>
      </c>
      <c r="V12" s="29">
        <f>IF(OR(INDEX('FCC 20 Connections'!$1:$1048576,MATCH("*"&amp;'Connections and Market Shares'!$A12&amp;"*",'FCC 20 Connections'!$B:$B,0),MATCH('Connections and Market Shares'!V$7,'FCC 20 Connections'!$1:$1,0))="*",INDEX('FCC 20 Connections'!$1:$1048576,MATCH("*"&amp;'Connections and Market Shares'!$A12&amp;"*",'FCC 20 Connections'!$B:$B,0),MATCH('Connections and Market Shares'!V$7,'FCC 20 Connections'!$1:$1,0))="NA"),"",INDEX('FCC 20 Connections'!$1:$1048576,MATCH("*"&amp;'Connections and Market Shares'!$A12&amp;"*",'FCC 20 Connections'!$B:$B,0),MATCH('Connections and Market Shares'!V$7,'FCC 20 Connections'!$1:$1,0)))</f>
        <v>125535</v>
      </c>
      <c r="W12" s="43">
        <f t="shared" ref="W12:W22" si="6">IFERROR(V12/V$24,"")</f>
        <v>0.36151500228943662</v>
      </c>
      <c r="Y12" s="29">
        <f>IF(OR(INDEX('FCC 20 Connections'!$1:$1048576,MATCH("*"&amp;'Connections and Market Shares'!$A12&amp;"*",'FCC 20 Connections'!$B:$B,0),MATCH('Connections and Market Shares'!Y$7,'FCC 20 Connections'!$1:$1,0))="*",INDEX('FCC 20 Connections'!$1:$1048576,MATCH("*"&amp;'Connections and Market Shares'!$A12&amp;"*",'FCC 20 Connections'!$B:$B,0),MATCH('Connections and Market Shares'!Y$7,'FCC 20 Connections'!$1:$1,0))="NA"),"",INDEX('FCC 20 Connections'!$1:$1048576,MATCH("*"&amp;'Connections and Market Shares'!$A12&amp;"*",'FCC 20 Connections'!$B:$B,0),MATCH('Connections and Market Shares'!Y$7,'FCC 20 Connections'!$1:$1,0)))</f>
        <v>134612</v>
      </c>
      <c r="Z12" s="43">
        <f t="shared" ref="Z12:Z22" si="7">IFERROR(Y12/Y$24,"")</f>
        <v>0.36237650415915146</v>
      </c>
      <c r="AB12" s="29">
        <f>IF(OR(INDEX('FCC 20 Connections'!$1:$1048576,MATCH("*"&amp;'Connections and Market Shares'!$A12&amp;"*",'FCC 20 Connections'!$B:$B,0),MATCH('Connections and Market Shares'!AB$7,'FCC 20 Connections'!$1:$1,0))="*",INDEX('FCC 20 Connections'!$1:$1048576,MATCH("*"&amp;'Connections and Market Shares'!$A12&amp;"*",'FCC 20 Connections'!$B:$B,0),MATCH('Connections and Market Shares'!AB$7,'FCC 20 Connections'!$1:$1,0))="NA"),"",INDEX('FCC 20 Connections'!$1:$1048576,MATCH("*"&amp;'Connections and Market Shares'!$A12&amp;"*",'FCC 20 Connections'!$B:$B,0),MATCH('Connections and Market Shares'!AB$7,'FCC 20 Connections'!$1:$1,0)))</f>
        <v>140924</v>
      </c>
      <c r="AC12" s="43">
        <f t="shared" ref="AC12:AC22" si="8">IFERROR(AB12/AB$24,"")</f>
        <v>0.35528999483165047</v>
      </c>
      <c r="AE12" s="29">
        <f>IF(OR(INDEX('FCC 20 Connections'!$1:$1048576,MATCH("*"&amp;'Connections and Market Shares'!$A12&amp;"*",'FCC 20 Connections'!$B:$B,0),MATCH('Connections and Market Shares'!AE$7,'FCC 20 Connections'!$1:$1,0))="*",INDEX('FCC 20 Connections'!$1:$1048576,MATCH("*"&amp;'Connections and Market Shares'!$A12&amp;"*",'FCC 20 Connections'!$B:$B,0),MATCH('Connections and Market Shares'!AE$7,'FCC 20 Connections'!$1:$1,0))="NA"),"",INDEX('FCC 20 Connections'!$1:$1048576,MATCH("*"&amp;'Connections and Market Shares'!$A12&amp;"*",'FCC 20 Connections'!$B:$B,0),MATCH('Connections and Market Shares'!AE$7,'FCC 20 Connections'!$1:$1,0)))</f>
        <v>145859</v>
      </c>
      <c r="AF12" s="43">
        <f t="shared" ref="AF12:AF21" si="9">IFERROR(AE12/AE$24,"")</f>
        <v>0.34996389008188916</v>
      </c>
      <c r="AG12" s="24"/>
      <c r="AH12" s="24"/>
      <c r="AI12" s="24"/>
      <c r="AK12" s="24"/>
      <c r="AL12" s="24"/>
      <c r="AM12" s="24"/>
      <c r="AN12" s="24"/>
      <c r="AO12" s="24"/>
    </row>
    <row r="13" spans="1:41" x14ac:dyDescent="0.35">
      <c r="A13" s="18" t="s">
        <v>2</v>
      </c>
      <c r="B13" s="18">
        <f>MAX($B$11:B12)+1</f>
        <v>3</v>
      </c>
      <c r="E13" t="s">
        <v>2</v>
      </c>
      <c r="F13" s="23" t="str">
        <f t="shared" si="0"/>
        <v>[3]</v>
      </c>
      <c r="G13" s="12">
        <f>IF(OR(INDEX('FCC 16 Connections'!$1:$1048576,MATCH("*"&amp;'Connections and Market Shares'!$A13&amp;"*",'FCC 16 Connections'!$B:$B,0),MATCH('Connections and Market Shares'!G$7,'FCC 16 Connections'!$6:$6,0))="*",INDEX('FCC 16 Connections'!$1:$1048576,MATCH("*"&amp;'Connections and Market Shares'!$A13&amp;"*",'FCC 16 Connections'!$B:$B,0),MATCH('Connections and Market Shares'!G$7,'FCC 16 Connections'!$6:$6,0))="NA"),"",INDEX('FCC 16 Connections'!$1:$1048576,MATCH("*"&amp;'Connections and Market Shares'!$A13&amp;"*",'FCC 16 Connections'!$B:$B,0),MATCH('Connections and Market Shares'!G$7,'FCC 16 Connections'!$6:$6,0)))</f>
        <v>48338</v>
      </c>
      <c r="H13" s="43">
        <f t="shared" si="1"/>
        <v>0.19504499051769358</v>
      </c>
      <c r="J13" s="12">
        <f>IF(OR(INDEX('FCC 16 Connections'!$1:$1048576,MATCH("*"&amp;'Connections and Market Shares'!$A13&amp;"*",'FCC 16 Connections'!$B:$B,0),MATCH('Connections and Market Shares'!J$7,'FCC 16 Connections'!$6:$6,0))="*",INDEX('FCC 16 Connections'!$1:$1048576,MATCH("*"&amp;'Connections and Market Shares'!$A13&amp;"*",'FCC 16 Connections'!$B:$B,0),MATCH('Connections and Market Shares'!J$7,'FCC 16 Connections'!$6:$6,0))="NA"),"",INDEX('FCC 16 Connections'!$1:$1048576,MATCH("*"&amp;'Connections and Market Shares'!$A13&amp;"*",'FCC 16 Connections'!$B:$B,0),MATCH('Connections and Market Shares'!J$7,'FCC 16 Connections'!$6:$6,0)))</f>
        <v>48133</v>
      </c>
      <c r="K13" s="43">
        <f t="shared" si="2"/>
        <v>0.17651632114946661</v>
      </c>
      <c r="M13" s="12">
        <f>IF(OR(INDEX('FCC 16 Connections'!$1:$1048576,MATCH("*"&amp;'Connections and Market Shares'!$A13&amp;"*",'FCC 16 Connections'!$B:$B,0),MATCH('Connections and Market Shares'!M$7,'FCC 16 Connections'!$6:$6,0))="*",INDEX('FCC 16 Connections'!$1:$1048576,MATCH("*"&amp;'Connections and Market Shares'!$A13&amp;"*",'FCC 16 Connections'!$B:$B,0),MATCH('Connections and Market Shares'!M$7,'FCC 16 Connections'!$6:$6,0))="NA"),"",INDEX('FCC 16 Connections'!$1:$1048576,MATCH("*"&amp;'Connections and Market Shares'!$A13&amp;"*",'FCC 16 Connections'!$B:$B,0),MATCH('Connections and Market Shares'!M$7,'FCC 16 Connections'!$6:$6,0)))</f>
        <v>49910</v>
      </c>
      <c r="N13" s="43">
        <f t="shared" si="3"/>
        <v>0.17006849081677855</v>
      </c>
      <c r="P13" s="12">
        <f>IF(OR(INDEX('FCC 16 Connections'!$1:$1048576,MATCH("*"&amp;'Connections and Market Shares'!$A13&amp;"*",'FCC 16 Connections'!$B:$B,0),MATCH('Connections and Market Shares'!P$7,'FCC 16 Connections'!$6:$6,0))="*",INDEX('FCC 16 Connections'!$1:$1048576,MATCH("*"&amp;'Connections and Market Shares'!$A13&amp;"*",'FCC 16 Connections'!$B:$B,0),MATCH('Connections and Market Shares'!P$7,'FCC 16 Connections'!$6:$6,0))="NA"),"",INDEX('FCC 16 Connections'!$1:$1048576,MATCH("*"&amp;'Connections and Market Shares'!$A13&amp;"*",'FCC 16 Connections'!$B:$B,0),MATCH('Connections and Market Shares'!P$7,'FCC 16 Connections'!$6:$6,0)))</f>
        <v>55021</v>
      </c>
      <c r="Q13" s="43">
        <f t="shared" si="4"/>
        <v>0.17375253818728428</v>
      </c>
      <c r="S13" s="29">
        <f>IF(OR(INDEX('FCC 19 Connections'!$1:$1048576,MATCH("*"&amp;'Connections and Market Shares'!$A13&amp;"*",'FCC 19 Connections'!$B:$B,0),MATCH('Connections and Market Shares'!S$7,'FCC 19 Connections'!$1:$1,0))="*",INDEX('FCC 19 Connections'!$1:$1048576,MATCH("*"&amp;'Connections and Market Shares'!$A13&amp;"*",'FCC 19 Connections'!$B:$B,0),MATCH('Connections and Market Shares'!S$7,'FCC 19 Connections'!$1:$1,0))="NA"),"",INDEX('FCC 19 Connections'!$1:$1048576,MATCH("*"&amp;'Connections and Market Shares'!$A13&amp;"*",'FCC 19 Connections'!$B:$B,0),MATCH('Connections and Market Shares'!S$7,'FCC 19 Connections'!$1:$1,0)))</f>
        <v>55626</v>
      </c>
      <c r="T13" s="43">
        <f t="shared" si="5"/>
        <v>0.16842124385746596</v>
      </c>
      <c r="V13" s="29">
        <f>IF(OR(INDEX('FCC 20 Connections'!$1:$1048576,MATCH("*"&amp;'Connections and Market Shares'!$A13&amp;"*",'FCC 20 Connections'!$B:$B,0),MATCH('Connections and Market Shares'!V$7,'FCC 20 Connections'!$1:$1,0))="*",INDEX('FCC 20 Connections'!$1:$1048576,MATCH("*"&amp;'Connections and Market Shares'!$A13&amp;"*",'FCC 20 Connections'!$B:$B,0),MATCH('Connections and Market Shares'!V$7,'FCC 20 Connections'!$1:$1,0))="NA"),"",INDEX('FCC 20 Connections'!$1:$1048576,MATCH("*"&amp;'Connections and Market Shares'!$A13&amp;"*",'FCC 20 Connections'!$B:$B,0),MATCH('Connections and Market Shares'!V$7,'FCC 20 Connections'!$1:$1,0)))</f>
        <v>54622</v>
      </c>
      <c r="W13" s="43">
        <f t="shared" si="6"/>
        <v>0.15730013506236196</v>
      </c>
      <c r="Y13" s="29">
        <f>IF(OR(INDEX('FCC 20 Connections'!$1:$1048576,MATCH("*"&amp;'Connections and Market Shares'!$A13&amp;"*",'FCC 20 Connections'!$B:$B,0),MATCH('Connections and Market Shares'!Y$7,'FCC 20 Connections'!$1:$1,0))="*",INDEX('FCC 20 Connections'!$1:$1048576,MATCH("*"&amp;'Connections and Market Shares'!$A13&amp;"*",'FCC 20 Connections'!$B:$B,0),MATCH('Connections and Market Shares'!Y$7,'FCC 20 Connections'!$1:$1,0))="NA"),"",INDEX('FCC 20 Connections'!$1:$1048576,MATCH("*"&amp;'Connections and Market Shares'!$A13&amp;"*",'FCC 20 Connections'!$B:$B,0),MATCH('Connections and Market Shares'!Y$7,'FCC 20 Connections'!$1:$1,0)))</f>
        <v>55929</v>
      </c>
      <c r="Z13" s="43">
        <f t="shared" si="7"/>
        <v>0.15056128354914258</v>
      </c>
      <c r="AB13" s="29">
        <f>IF(OR(INDEX('FCC 20 Connections'!$1:$1048576,MATCH("*"&amp;'Connections and Market Shares'!$A13&amp;"*",'FCC 20 Connections'!$B:$B,0),MATCH('Connections and Market Shares'!AB$7,'FCC 20 Connections'!$1:$1,0))="*",INDEX('FCC 20 Connections'!$1:$1048576,MATCH("*"&amp;'Connections and Market Shares'!$A13&amp;"*",'FCC 20 Connections'!$B:$B,0),MATCH('Connections and Market Shares'!AB$7,'FCC 20 Connections'!$1:$1,0))="NA"),"",INDEX('FCC 20 Connections'!$1:$1048576,MATCH("*"&amp;'Connections and Market Shares'!$A13&amp;"*",'FCC 20 Connections'!$B:$B,0),MATCH('Connections and Market Shares'!AB$7,'FCC 20 Connections'!$1:$1,0)))</f>
        <v>58578</v>
      </c>
      <c r="AC13" s="43">
        <f t="shared" si="8"/>
        <v>0.14768369700866013</v>
      </c>
      <c r="AE13" s="29">
        <f>IF(OR(INDEX('FCC 20 Connections'!$1:$1048576,MATCH("*"&amp;'Connections and Market Shares'!$A13&amp;"*",'FCC 20 Connections'!$B:$B,0),MATCH('Connections and Market Shares'!AE$7,'FCC 20 Connections'!$1:$1,0))="*",INDEX('FCC 20 Connections'!$1:$1048576,MATCH("*"&amp;'Connections and Market Shares'!$A13&amp;"*",'FCC 20 Connections'!$B:$B,0),MATCH('Connections and Market Shares'!AE$7,'FCC 20 Connections'!$1:$1,0))="NA"),"",INDEX('FCC 20 Connections'!$1:$1048576,MATCH("*"&amp;'Connections and Market Shares'!$A13&amp;"*",'FCC 20 Connections'!$B:$B,0),MATCH('Connections and Market Shares'!AE$7,'FCC 20 Connections'!$1:$1,0)))</f>
        <v>59515</v>
      </c>
      <c r="AF13" s="43">
        <f t="shared" si="9"/>
        <v>0.14279613132013541</v>
      </c>
      <c r="AG13" s="24"/>
      <c r="AH13" s="24"/>
      <c r="AI13" s="24"/>
      <c r="AK13" s="24"/>
      <c r="AL13" s="24"/>
      <c r="AM13" s="24"/>
      <c r="AN13" s="24"/>
      <c r="AO13" s="24"/>
    </row>
    <row r="14" spans="1:41" x14ac:dyDescent="0.35">
      <c r="A14" s="18" t="s">
        <v>3</v>
      </c>
      <c r="B14" s="18">
        <f>MAX($B$11:B13)+1</f>
        <v>4</v>
      </c>
      <c r="E14" t="s">
        <v>3</v>
      </c>
      <c r="F14" s="23" t="str">
        <f t="shared" si="0"/>
        <v>[4]</v>
      </c>
      <c r="G14" s="12">
        <f>IF(OR(INDEX('FCC 16 Connections'!$1:$1048576,MATCH("*"&amp;'Connections and Market Shares'!$A14&amp;"*",'FCC 16 Connections'!$B:$B,0),MATCH('Connections and Market Shares'!G$7,'FCC 16 Connections'!$6:$6,0))="*",INDEX('FCC 16 Connections'!$1:$1048576,MATCH("*"&amp;'Connections and Market Shares'!$A14&amp;"*",'FCC 16 Connections'!$B:$B,0),MATCH('Connections and Market Shares'!G$7,'FCC 16 Connections'!$6:$6,0))="NA"),"",INDEX('FCC 16 Connections'!$1:$1048576,MATCH("*"&amp;'Connections and Market Shares'!$A14&amp;"*",'FCC 16 Connections'!$B:$B,0),MATCH('Connections and Market Shares'!G$7,'FCC 16 Connections'!$6:$6,0)))</f>
        <v>32758</v>
      </c>
      <c r="H14" s="43">
        <f t="shared" si="1"/>
        <v>0.13217931646693298</v>
      </c>
      <c r="J14" s="12">
        <f>IF(OR(INDEX('FCC 16 Connections'!$1:$1048576,MATCH("*"&amp;'Connections and Market Shares'!$A14&amp;"*",'FCC 16 Connections'!$B:$B,0),MATCH('Connections and Market Shares'!J$7,'FCC 16 Connections'!$6:$6,0))="*",INDEX('FCC 16 Connections'!$1:$1048576,MATCH("*"&amp;'Connections and Market Shares'!$A14&amp;"*",'FCC 16 Connections'!$B:$B,0),MATCH('Connections and Market Shares'!J$7,'FCC 16 Connections'!$6:$6,0))="NA"),"",INDEX('FCC 16 Connections'!$1:$1048576,MATCH("*"&amp;'Connections and Market Shares'!$A14&amp;"*",'FCC 16 Connections'!$B:$B,0),MATCH('Connections and Market Shares'!J$7,'FCC 16 Connections'!$6:$6,0)))</f>
        <v>33790</v>
      </c>
      <c r="K14" s="43">
        <f t="shared" si="2"/>
        <v>0.12391678249102438</v>
      </c>
      <c r="M14" s="12">
        <f>IF(OR(INDEX('FCC 16 Connections'!$1:$1048576,MATCH("*"&amp;'Connections and Market Shares'!$A14&amp;"*",'FCC 16 Connections'!$B:$B,0),MATCH('Connections and Market Shares'!M$7,'FCC 16 Connections'!$6:$6,0))="*",INDEX('FCC 16 Connections'!$1:$1048576,MATCH("*"&amp;'Connections and Market Shares'!$A14&amp;"*",'FCC 16 Connections'!$B:$B,0),MATCH('Connections and Market Shares'!M$7,'FCC 16 Connections'!$6:$6,0))="NA"),"",INDEX('FCC 16 Connections'!$1:$1048576,MATCH("*"&amp;'Connections and Market Shares'!$A14&amp;"*",'FCC 16 Connections'!$B:$B,0),MATCH('Connections and Market Shares'!M$7,'FCC 16 Connections'!$6:$6,0)))</f>
        <v>33734</v>
      </c>
      <c r="N14" s="43">
        <f t="shared" si="3"/>
        <v>0.11494871707499915</v>
      </c>
      <c r="P14" s="12">
        <f>IF(OR(INDEX('FCC 16 Connections'!$1:$1048576,MATCH("*"&amp;'Connections and Market Shares'!$A14&amp;"*",'FCC 16 Connections'!$B:$B,0),MATCH('Connections and Market Shares'!P$7,'FCC 16 Connections'!$6:$6,0))="*",INDEX('FCC 16 Connections'!$1:$1048576,MATCH("*"&amp;'Connections and Market Shares'!$A14&amp;"*",'FCC 16 Connections'!$B:$B,0),MATCH('Connections and Market Shares'!P$7,'FCC 16 Connections'!$6:$6,0))="NA"),"",INDEX('FCC 16 Connections'!$1:$1048576,MATCH("*"&amp;'Connections and Market Shares'!$A14&amp;"*",'FCC 16 Connections'!$B:$B,0),MATCH('Connections and Market Shares'!P$7,'FCC 16 Connections'!$6:$6,0)))</f>
        <v>33185</v>
      </c>
      <c r="Q14" s="43">
        <f t="shared" si="4"/>
        <v>0.10479595026889785</v>
      </c>
      <c r="S14" s="29">
        <f>IF(OR(INDEX('FCC 19 Connections'!$1:$1048576,MATCH("*"&amp;'Connections and Market Shares'!$A14&amp;"*",'FCC 19 Connections'!$B:$B,0),MATCH('Connections and Market Shares'!S$7,'FCC 19 Connections'!$1:$1,0))="*",INDEX('FCC 19 Connections'!$1:$1048576,MATCH("*"&amp;'Connections and Market Shares'!$A14&amp;"*",'FCC 19 Connections'!$B:$B,0),MATCH('Connections and Market Shares'!S$7,'FCC 19 Connections'!$1:$1,0))="NA"),"",INDEX('FCC 19 Connections'!$1:$1048576,MATCH("*"&amp;'Connections and Market Shares'!$A14&amp;"*",'FCC 19 Connections'!$B:$B,0),MATCH('Connections and Market Shares'!S$7,'FCC 19 Connections'!$1:$1,0)))</f>
        <v>30299</v>
      </c>
      <c r="T14" s="43">
        <f t="shared" si="5"/>
        <v>9.1737591551385347E-2</v>
      </c>
      <c r="V14" s="29">
        <f>IF(OR(INDEX('FCC 20 Connections'!$1:$1048576,MATCH("*"&amp;'Connections and Market Shares'!$A14&amp;"*",'FCC 20 Connections'!$B:$B,0),MATCH('Connections and Market Shares'!V$7,'FCC 20 Connections'!$1:$1,0))="*",INDEX('FCC 20 Connections'!$1:$1048576,MATCH("*"&amp;'Connections and Market Shares'!$A14&amp;"*",'FCC 20 Connections'!$B:$B,0),MATCH('Connections and Market Shares'!V$7,'FCC 20 Connections'!$1:$1,0))="NA"),"",INDEX('FCC 20 Connections'!$1:$1048576,MATCH("*"&amp;'Connections and Market Shares'!$A14&amp;"*",'FCC 20 Connections'!$B:$B,0),MATCH('Connections and Market Shares'!V$7,'FCC 20 Connections'!$1:$1,0)))</f>
        <v>46684</v>
      </c>
      <c r="W14" s="43">
        <f t="shared" si="6"/>
        <v>0.13444032633831249</v>
      </c>
      <c r="Y14" s="29">
        <f>IF(OR(INDEX('FCC 20 Connections'!$1:$1048576,MATCH("*"&amp;'Connections and Market Shares'!$A14&amp;"*",'FCC 20 Connections'!$B:$B,0),MATCH('Connections and Market Shares'!Y$7,'FCC 20 Connections'!$1:$1,0))="*",INDEX('FCC 20 Connections'!$1:$1048576,MATCH("*"&amp;'Connections and Market Shares'!$A14&amp;"*",'FCC 20 Connections'!$B:$B,0),MATCH('Connections and Market Shares'!Y$7,'FCC 20 Connections'!$1:$1,0))="NA"),"",INDEX('FCC 20 Connections'!$1:$1048576,MATCH("*"&amp;'Connections and Market Shares'!$A14&amp;"*",'FCC 20 Connections'!$B:$B,0),MATCH('Connections and Market Shares'!Y$7,'FCC 20 Connections'!$1:$1,0)))</f>
        <v>55018</v>
      </c>
      <c r="Z14" s="43">
        <f t="shared" si="7"/>
        <v>0.14810886478046678</v>
      </c>
      <c r="AB14" s="29">
        <f>IF(OR(INDEX('FCC 20 Connections'!$1:$1048576,MATCH("*"&amp;'Connections and Market Shares'!$A14&amp;"*",'FCC 20 Connections'!$B:$B,0),MATCH('Connections and Market Shares'!AB$7,'FCC 20 Connections'!$1:$1,0))="*",INDEX('FCC 20 Connections'!$1:$1048576,MATCH("*"&amp;'Connections and Market Shares'!$A14&amp;"*",'FCC 20 Connections'!$B:$B,0),MATCH('Connections and Market Shares'!AB$7,'FCC 20 Connections'!$1:$1,0))="NA"),"",INDEX('FCC 20 Connections'!$1:$1048576,MATCH("*"&amp;'Connections and Market Shares'!$A14&amp;"*",'FCC 20 Connections'!$B:$B,0),MATCH('Connections and Market Shares'!AB$7,'FCC 20 Connections'!$1:$1,0)))</f>
        <v>63282</v>
      </c>
      <c r="AC14" s="43">
        <f t="shared" si="8"/>
        <v>0.15954316832432022</v>
      </c>
      <c r="AE14" s="29">
        <f>IF(OR(INDEX('FCC 20 Connections'!$1:$1048576,MATCH("*"&amp;'Connections and Market Shares'!$A14&amp;"*",'FCC 20 Connections'!$B:$B,0),MATCH('Connections and Market Shares'!AE$7,'FCC 20 Connections'!$1:$1,0))="*",INDEX('FCC 20 Connections'!$1:$1048576,MATCH("*"&amp;'Connections and Market Shares'!$A14&amp;"*",'FCC 20 Connections'!$B:$B,0),MATCH('Connections and Market Shares'!AE$7,'FCC 20 Connections'!$1:$1,0))="NA"),"",INDEX('FCC 20 Connections'!$1:$1048576,MATCH("*"&amp;'Connections and Market Shares'!$A14&amp;"*",'FCC 20 Connections'!$B:$B,0),MATCH('Connections and Market Shares'!AE$7,'FCC 20 Connections'!$1:$1,0)))</f>
        <v>71455</v>
      </c>
      <c r="AF14" s="43">
        <f t="shared" si="9"/>
        <v>0.17144413279812276</v>
      </c>
      <c r="AG14" s="24"/>
      <c r="AH14" s="24"/>
      <c r="AI14" s="24"/>
      <c r="AK14" s="24"/>
      <c r="AL14" s="24"/>
      <c r="AM14" s="24"/>
      <c r="AN14" s="24"/>
      <c r="AO14" s="24"/>
    </row>
    <row r="15" spans="1:41" x14ac:dyDescent="0.35">
      <c r="A15" s="18" t="s">
        <v>8</v>
      </c>
      <c r="B15" s="18">
        <f>MAX($B$11:B14)+1</f>
        <v>5</v>
      </c>
      <c r="E15" t="s">
        <v>8</v>
      </c>
      <c r="F15" s="23" t="str">
        <f t="shared" si="0"/>
        <v>[5]</v>
      </c>
      <c r="G15" s="12">
        <f>IF(OR(INDEX('FCC 16 Connections'!$1:$1048576,MATCH("*"&amp;'Connections and Market Shares'!$A15&amp;"*",'FCC 16 Connections'!$B:$B,0),MATCH('Connections and Market Shares'!G$7,'FCC 16 Connections'!$6:$6,0))="*",INDEX('FCC 16 Connections'!$1:$1048576,MATCH("*"&amp;'Connections and Market Shares'!$A15&amp;"*",'FCC 16 Connections'!$B:$B,0),MATCH('Connections and Market Shares'!G$7,'FCC 16 Connections'!$6:$6,0))="NA"),"",INDEX('FCC 16 Connections'!$1:$1048576,MATCH("*"&amp;'Connections and Market Shares'!$A15&amp;"*",'FCC 16 Connections'!$B:$B,0),MATCH('Connections and Market Shares'!G$7,'FCC 16 Connections'!$6:$6,0)))</f>
        <v>475</v>
      </c>
      <c r="H15" s="43">
        <f t="shared" si="1"/>
        <v>1.9166364039866037E-3</v>
      </c>
      <c r="J15" s="12">
        <f>IF(OR(INDEX('FCC 16 Connections'!$1:$1048576,MATCH("*"&amp;'Connections and Market Shares'!$A15&amp;"*",'FCC 16 Connections'!$B:$B,0),MATCH('Connections and Market Shares'!J$7,'FCC 16 Connections'!$6:$6,0))="*",INDEX('FCC 16 Connections'!$1:$1048576,MATCH("*"&amp;'Connections and Market Shares'!$A15&amp;"*",'FCC 16 Connections'!$B:$B,0),MATCH('Connections and Market Shares'!J$7,'FCC 16 Connections'!$6:$6,0))="NA"),"",INDEX('FCC 16 Connections'!$1:$1048576,MATCH("*"&amp;'Connections and Market Shares'!$A15&amp;"*",'FCC 16 Connections'!$B:$B,0),MATCH('Connections and Market Shares'!J$7,'FCC 16 Connections'!$6:$6,0)))</f>
        <v>688</v>
      </c>
      <c r="K15" s="43">
        <f t="shared" si="2"/>
        <v>2.5230762460439413E-3</v>
      </c>
      <c r="M15" s="12">
        <f>IF(OR(INDEX('FCC 16 Connections'!$1:$1048576,MATCH("*"&amp;'Connections and Market Shares'!$A15&amp;"*",'FCC 16 Connections'!$B:$B,0),MATCH('Connections and Market Shares'!M$7,'FCC 16 Connections'!$6:$6,0))="*",INDEX('FCC 16 Connections'!$1:$1048576,MATCH("*"&amp;'Connections and Market Shares'!$A15&amp;"*",'FCC 16 Connections'!$B:$B,0),MATCH('Connections and Market Shares'!M$7,'FCC 16 Connections'!$6:$6,0))="NA"),"",INDEX('FCC 16 Connections'!$1:$1048576,MATCH("*"&amp;'Connections and Market Shares'!$A15&amp;"*",'FCC 16 Connections'!$B:$B,0),MATCH('Connections and Market Shares'!M$7,'FCC 16 Connections'!$6:$6,0)))</f>
        <v>4345</v>
      </c>
      <c r="N15" s="43">
        <f t="shared" si="3"/>
        <v>1.4805601935461887E-2</v>
      </c>
      <c r="P15" s="12">
        <f>IF(OR(INDEX('FCC 16 Connections'!$1:$1048576,MATCH("*"&amp;'Connections and Market Shares'!$A15&amp;"*",'FCC 16 Connections'!$B:$B,0),MATCH('Connections and Market Shares'!P$7,'FCC 16 Connections'!$6:$6,0))="*",INDEX('FCC 16 Connections'!$1:$1048576,MATCH("*"&amp;'Connections and Market Shares'!$A15&amp;"*",'FCC 16 Connections'!$B:$B,0),MATCH('Connections and Market Shares'!P$7,'FCC 16 Connections'!$6:$6,0))="NA"),"",INDEX('FCC 16 Connections'!$1:$1048576,MATCH("*"&amp;'Connections and Market Shares'!$A15&amp;"*",'FCC 16 Connections'!$B:$B,0),MATCH('Connections and Market Shares'!P$7,'FCC 16 Connections'!$6:$6,0)))</f>
        <v>10415</v>
      </c>
      <c r="Q15" s="43">
        <f t="shared" si="4"/>
        <v>3.2889854514104901E-2</v>
      </c>
      <c r="S15" s="29" t="str">
        <f>IF(OR(INDEX('FCC 19 Connections'!$1:$1048576,MATCH("*"&amp;'Connections and Market Shares'!$A15&amp;"*",'FCC 19 Connections'!$B:$B,0),MATCH('Connections and Market Shares'!S$7,'FCC 19 Connections'!$1:$1,0))="*",INDEX('FCC 19 Connections'!$1:$1048576,MATCH("*"&amp;'Connections and Market Shares'!$A15&amp;"*",'FCC 19 Connections'!$B:$B,0),MATCH('Connections and Market Shares'!S$7,'FCC 19 Connections'!$1:$1,0))="NA"),"",INDEX('FCC 19 Connections'!$1:$1048576,MATCH("*"&amp;'Connections and Market Shares'!$A15&amp;"*",'FCC 19 Connections'!$B:$B,0),MATCH('Connections and Market Shares'!S$7,'FCC 19 Connections'!$1:$1,0)))</f>
        <v xml:space="preserve"> </v>
      </c>
      <c r="T15" s="43" t="str">
        <f t="shared" si="5"/>
        <v/>
      </c>
      <c r="V15" s="29" t="str">
        <f>IF(OR(INDEX('FCC 20 Connections'!$1:$1048576,MATCH("*"&amp;'Connections and Market Shares'!$A15&amp;"*",'FCC 20 Connections'!$B:$B,0),MATCH('Connections and Market Shares'!V$7,'FCC 20 Connections'!$1:$1,0))="*",INDEX('FCC 20 Connections'!$1:$1048576,MATCH("*"&amp;'Connections and Market Shares'!$A15&amp;"*",'FCC 20 Connections'!$B:$B,0),MATCH('Connections and Market Shares'!V$7,'FCC 20 Connections'!$1:$1,0))="NA"),"",INDEX('FCC 20 Connections'!$1:$1048576,MATCH("*"&amp;'Connections and Market Shares'!$A15&amp;"*",'FCC 20 Connections'!$B:$B,0),MATCH('Connections and Market Shares'!V$7,'FCC 20 Connections'!$1:$1,0)))</f>
        <v xml:space="preserve"> </v>
      </c>
      <c r="W15" s="43" t="str">
        <f t="shared" si="6"/>
        <v/>
      </c>
      <c r="Y15" s="29" t="str">
        <f>IF(OR(INDEX('FCC 20 Connections'!$1:$1048576,MATCH("*"&amp;'Connections and Market Shares'!$A15&amp;"*",'FCC 20 Connections'!$B:$B,0),MATCH('Connections and Market Shares'!Y$7,'FCC 20 Connections'!$1:$1,0))="*",INDEX('FCC 20 Connections'!$1:$1048576,MATCH("*"&amp;'Connections and Market Shares'!$A15&amp;"*",'FCC 20 Connections'!$B:$B,0),MATCH('Connections and Market Shares'!Y$7,'FCC 20 Connections'!$1:$1,0))="NA"),"",INDEX('FCC 20 Connections'!$1:$1048576,MATCH("*"&amp;'Connections and Market Shares'!$A15&amp;"*",'FCC 20 Connections'!$B:$B,0),MATCH('Connections and Market Shares'!Y$7,'FCC 20 Connections'!$1:$1,0)))</f>
        <v xml:space="preserve"> </v>
      </c>
      <c r="Z15" s="43" t="str">
        <f t="shared" si="7"/>
        <v/>
      </c>
      <c r="AB15" s="29" t="str">
        <f>IF(OR(INDEX('FCC 20 Connections'!$1:$1048576,MATCH("*"&amp;'Connections and Market Shares'!$A15&amp;"*",'FCC 20 Connections'!$B:$B,0),MATCH('Connections and Market Shares'!AB$7,'FCC 20 Connections'!$1:$1,0))="*",INDEX('FCC 20 Connections'!$1:$1048576,MATCH("*"&amp;'Connections and Market Shares'!$A15&amp;"*",'FCC 20 Connections'!$B:$B,0),MATCH('Connections and Market Shares'!AB$7,'FCC 20 Connections'!$1:$1,0))="NA"),"",INDEX('FCC 20 Connections'!$1:$1048576,MATCH("*"&amp;'Connections and Market Shares'!$A15&amp;"*",'FCC 20 Connections'!$B:$B,0),MATCH('Connections and Market Shares'!AB$7,'FCC 20 Connections'!$1:$1,0)))</f>
        <v xml:space="preserve"> </v>
      </c>
      <c r="AC15" s="43" t="str">
        <f t="shared" si="8"/>
        <v/>
      </c>
      <c r="AE15" s="29" t="str">
        <f>IF(OR(INDEX('FCC 20 Connections'!$1:$1048576,MATCH("*"&amp;'Connections and Market Shares'!$A15&amp;"*",'FCC 20 Connections'!$B:$B,0),MATCH('Connections and Market Shares'!AE$7,'FCC 20 Connections'!$1:$1,0))="*",INDEX('FCC 20 Connections'!$1:$1048576,MATCH("*"&amp;'Connections and Market Shares'!$A15&amp;"*",'FCC 20 Connections'!$B:$B,0),MATCH('Connections and Market Shares'!AE$7,'FCC 20 Connections'!$1:$1,0))="NA"),"",INDEX('FCC 20 Connections'!$1:$1048576,MATCH("*"&amp;'Connections and Market Shares'!$A15&amp;"*",'FCC 20 Connections'!$B:$B,0),MATCH('Connections and Market Shares'!AE$7,'FCC 20 Connections'!$1:$1,0)))</f>
        <v xml:space="preserve"> </v>
      </c>
      <c r="AF15" s="43" t="str">
        <f t="shared" si="9"/>
        <v/>
      </c>
      <c r="AG15" s="24"/>
      <c r="AH15" s="24"/>
      <c r="AI15" s="24"/>
      <c r="AK15" s="24"/>
      <c r="AL15" s="24"/>
      <c r="AM15" s="24"/>
      <c r="AN15" s="24"/>
      <c r="AO15" s="24"/>
    </row>
    <row r="16" spans="1:41" x14ac:dyDescent="0.35">
      <c r="A16" s="18" t="s">
        <v>55</v>
      </c>
      <c r="B16" s="18">
        <f>MAX($B$11:B15)+1</f>
        <v>6</v>
      </c>
      <c r="E16" s="34" t="s">
        <v>55</v>
      </c>
      <c r="F16" s="23" t="str">
        <f t="shared" si="0"/>
        <v>[6]</v>
      </c>
      <c r="G16" s="12">
        <f>IF(OR(INDEX('FCC 16 Connections'!$1:$1048576,MATCH("*"&amp;'Connections and Market Shares'!$A16&amp;"*",'FCC 16 Connections'!$B:$B,0),MATCH('Connections and Market Shares'!G$7,'FCC 16 Connections'!$6:$6,0))="*",INDEX('FCC 16 Connections'!$1:$1048576,MATCH("*"&amp;'Connections and Market Shares'!$A16&amp;"*",'FCC 16 Connections'!$B:$B,0),MATCH('Connections and Market Shares'!G$7,'FCC 16 Connections'!$6:$6,0))="NA"),"",INDEX('FCC 16 Connections'!$1:$1048576,MATCH("*"&amp;'Connections and Market Shares'!$A16&amp;"*",'FCC 16 Connections'!$B:$B,0),MATCH('Connections and Market Shares'!G$7,'FCC 16 Connections'!$6:$6,0)))</f>
        <v>5367</v>
      </c>
      <c r="H16" s="43">
        <f t="shared" si="1"/>
        <v>2.1655973853044425E-2</v>
      </c>
      <c r="J16" s="12">
        <f>IF(OR(INDEX('FCC 16 Connections'!$1:$1048576,MATCH("*"&amp;'Connections and Market Shares'!$A16&amp;"*",'FCC 16 Connections'!$B:$B,0),MATCH('Connections and Market Shares'!J$7,'FCC 16 Connections'!$6:$6,0))="*",INDEX('FCC 16 Connections'!$1:$1048576,MATCH("*"&amp;'Connections and Market Shares'!$A16&amp;"*",'FCC 16 Connections'!$B:$B,0),MATCH('Connections and Market Shares'!J$7,'FCC 16 Connections'!$6:$6,0))="NA"),"",INDEX('FCC 16 Connections'!$1:$1048576,MATCH("*"&amp;'Connections and Market Shares'!$A16&amp;"*",'FCC 16 Connections'!$B:$B,0),MATCH('Connections and Market Shares'!J$7,'FCC 16 Connections'!$6:$6,0)))</f>
        <v>6640</v>
      </c>
      <c r="K16" s="43">
        <f>IFERROR(J16/J$24,"")</f>
        <v>2.4350619583912454E-2</v>
      </c>
      <c r="M16" s="12">
        <f>IF(OR(INDEX('FCC 16 Connections'!$1:$1048576,MATCH("*"&amp;'Connections and Market Shares'!$A16&amp;"*",'FCC 16 Connections'!$B:$B,0),MATCH('Connections and Market Shares'!M$7,'FCC 16 Connections'!$6:$6,0))="*",INDEX('FCC 16 Connections'!$1:$1048576,MATCH("*"&amp;'Connections and Market Shares'!$A16&amp;"*",'FCC 16 Connections'!$B:$B,0),MATCH('Connections and Market Shares'!M$7,'FCC 16 Connections'!$6:$6,0))="NA"),"",INDEX('FCC 16 Connections'!$1:$1048576,MATCH("*"&amp;'Connections and Market Shares'!$A16&amp;"*",'FCC 16 Connections'!$B:$B,0),MATCH('Connections and Market Shares'!M$7,'FCC 16 Connections'!$6:$6,0)))</f>
        <v>8155</v>
      </c>
      <c r="N16" s="43">
        <f t="shared" si="3"/>
        <v>2.7788189593484853E-2</v>
      </c>
      <c r="P16" s="12">
        <f>IF(OR(INDEX('FCC 16 Connections'!$1:$1048576,MATCH("*"&amp;'Connections and Market Shares'!$A16&amp;"*",'FCC 16 Connections'!$B:$B,0),MATCH('Connections and Market Shares'!P$7,'FCC 16 Connections'!$6:$6,0))="*",INDEX('FCC 16 Connections'!$1:$1048576,MATCH("*"&amp;'Connections and Market Shares'!$A16&amp;"*",'FCC 16 Connections'!$B:$B,0),MATCH('Connections and Market Shares'!P$7,'FCC 16 Connections'!$6:$6,0))="NA"),"",INDEX('FCC 16 Connections'!$1:$1048576,MATCH("*"&amp;'Connections and Market Shares'!$A16&amp;"*",'FCC 16 Connections'!$B:$B,0),MATCH('Connections and Market Shares'!P$7,'FCC 16 Connections'!$6:$6,0)))</f>
        <v>9347</v>
      </c>
      <c r="Q16" s="43">
        <f t="shared" si="4"/>
        <v>2.9517183883181804E-2</v>
      </c>
      <c r="S16" s="29" t="str">
        <f>IF(OR(INDEX('FCC 19 Connections'!$1:$1048576,MATCH("*"&amp;'Connections and Market Shares'!$A16&amp;"*",'FCC 19 Connections'!$B:$B,0),MATCH('Connections and Market Shares'!S$7,'FCC 19 Connections'!$1:$1,0))="*",INDEX('FCC 19 Connections'!$1:$1048576,MATCH("*"&amp;'Connections and Market Shares'!$A16&amp;"*",'FCC 19 Connections'!$B:$B,0),MATCH('Connections and Market Shares'!S$7,'FCC 19 Connections'!$1:$1,0))="NA"),"",INDEX('FCC 19 Connections'!$1:$1048576,MATCH("*"&amp;'Connections and Market Shares'!$A16&amp;"*",'FCC 19 Connections'!$B:$B,0),MATCH('Connections and Market Shares'!S$7,'FCC 19 Connections'!$1:$1,0)))</f>
        <v xml:space="preserve"> </v>
      </c>
      <c r="T16" s="43" t="str">
        <f t="shared" si="5"/>
        <v/>
      </c>
      <c r="V16" s="29" t="str">
        <f>IF(OR(INDEX('FCC 20 Connections'!$1:$1048576,MATCH("*"&amp;'Connections and Market Shares'!$A16&amp;"*",'FCC 20 Connections'!$B:$B,0),MATCH('Connections and Market Shares'!V$7,'FCC 20 Connections'!$1:$1,0))="*",INDEX('FCC 20 Connections'!$1:$1048576,MATCH("*"&amp;'Connections and Market Shares'!$A16&amp;"*",'FCC 20 Connections'!$B:$B,0),MATCH('Connections and Market Shares'!V$7,'FCC 20 Connections'!$1:$1,0))="NA"),"",INDEX('FCC 20 Connections'!$1:$1048576,MATCH("*"&amp;'Connections and Market Shares'!$A16&amp;"*",'FCC 20 Connections'!$B:$B,0),MATCH('Connections and Market Shares'!V$7,'FCC 20 Connections'!$1:$1,0)))</f>
        <v xml:space="preserve"> </v>
      </c>
      <c r="W16" s="43" t="str">
        <f t="shared" si="6"/>
        <v/>
      </c>
      <c r="Y16" s="29" t="str">
        <f>IF(OR(INDEX('FCC 20 Connections'!$1:$1048576,MATCH("*"&amp;'Connections and Market Shares'!$A16&amp;"*",'FCC 20 Connections'!$B:$B,0),MATCH('Connections and Market Shares'!Y$7,'FCC 20 Connections'!$1:$1,0))="*",INDEX('FCC 20 Connections'!$1:$1048576,MATCH("*"&amp;'Connections and Market Shares'!$A16&amp;"*",'FCC 20 Connections'!$B:$B,0),MATCH('Connections and Market Shares'!Y$7,'FCC 20 Connections'!$1:$1,0))="NA"),"",INDEX('FCC 20 Connections'!$1:$1048576,MATCH("*"&amp;'Connections and Market Shares'!$A16&amp;"*",'FCC 20 Connections'!$B:$B,0),MATCH('Connections and Market Shares'!Y$7,'FCC 20 Connections'!$1:$1,0)))</f>
        <v xml:space="preserve"> </v>
      </c>
      <c r="Z16" s="43" t="str">
        <f t="shared" si="7"/>
        <v/>
      </c>
      <c r="AB16" s="29" t="str">
        <f>IF(OR(INDEX('FCC 20 Connections'!$1:$1048576,MATCH("*"&amp;'Connections and Market Shares'!$A16&amp;"*",'FCC 20 Connections'!$B:$B,0),MATCH('Connections and Market Shares'!AB$7,'FCC 20 Connections'!$1:$1,0))="*",INDEX('FCC 20 Connections'!$1:$1048576,MATCH("*"&amp;'Connections and Market Shares'!$A16&amp;"*",'FCC 20 Connections'!$B:$B,0),MATCH('Connections and Market Shares'!AB$7,'FCC 20 Connections'!$1:$1,0))="NA"),"",INDEX('FCC 20 Connections'!$1:$1048576,MATCH("*"&amp;'Connections and Market Shares'!$A16&amp;"*",'FCC 20 Connections'!$B:$B,0),MATCH('Connections and Market Shares'!AB$7,'FCC 20 Connections'!$1:$1,0)))</f>
        <v xml:space="preserve"> </v>
      </c>
      <c r="AC16" s="43" t="str">
        <f t="shared" si="8"/>
        <v/>
      </c>
      <c r="AE16" s="29" t="str">
        <f>IF(OR(INDEX('FCC 20 Connections'!$1:$1048576,MATCH("*"&amp;'Connections and Market Shares'!$A16&amp;"*",'FCC 20 Connections'!$B:$B,0),MATCH('Connections and Market Shares'!AE$7,'FCC 20 Connections'!$1:$1,0))="*",INDEX('FCC 20 Connections'!$1:$1048576,MATCH("*"&amp;'Connections and Market Shares'!$A16&amp;"*",'FCC 20 Connections'!$B:$B,0),MATCH('Connections and Market Shares'!AE$7,'FCC 20 Connections'!$1:$1,0))="NA"),"",INDEX('FCC 20 Connections'!$1:$1048576,MATCH("*"&amp;'Connections and Market Shares'!$A16&amp;"*",'FCC 20 Connections'!$B:$B,0),MATCH('Connections and Market Shares'!AE$7,'FCC 20 Connections'!$1:$1,0)))</f>
        <v xml:space="preserve"> </v>
      </c>
      <c r="AF16" s="43" t="str">
        <f t="shared" si="9"/>
        <v/>
      </c>
      <c r="AG16" s="24"/>
      <c r="AH16" s="24"/>
      <c r="AI16" s="24"/>
    </row>
    <row r="17" spans="1:41" x14ac:dyDescent="0.35">
      <c r="A17" s="18" t="s">
        <v>10</v>
      </c>
      <c r="B17" s="18">
        <f>MAX($B$11:B16)+1</f>
        <v>7</v>
      </c>
      <c r="E17" s="34" t="s">
        <v>56</v>
      </c>
      <c r="F17" s="23" t="str">
        <f t="shared" si="0"/>
        <v>[7]</v>
      </c>
      <c r="G17" s="12">
        <f>IF(OR(INDEX('FCC 16 Connections'!$1:$1048576,MATCH("*"&amp;'Connections and Market Shares'!$A17&amp;"*",'FCC 16 Connections'!$B:$B,0),MATCH('Connections and Market Shares'!G$7,'FCC 16 Connections'!$6:$6,0))="*",INDEX('FCC 16 Connections'!$1:$1048576,MATCH("*"&amp;'Connections and Market Shares'!$A17&amp;"*",'FCC 16 Connections'!$B:$B,0),MATCH('Connections and Market Shares'!G$7,'FCC 16 Connections'!$6:$6,0))="NA"),"",INDEX('FCC 16 Connections'!$1:$1048576,MATCH("*"&amp;'Connections and Market Shares'!$A17&amp;"*",'FCC 16 Connections'!$B:$B,0),MATCH('Connections and Market Shares'!G$7,'FCC 16 Connections'!$6:$6,0)))</f>
        <v>3845</v>
      </c>
      <c r="H17" s="43">
        <f t="shared" si="1"/>
        <v>1.5514667312270507E-2</v>
      </c>
      <c r="J17" s="12">
        <f>IF(OR(INDEX('FCC 16 Connections'!$1:$1048576,MATCH("*"&amp;'Connections and Market Shares'!$A17&amp;"*",'FCC 16 Connections'!$B:$B,0),MATCH('Connections and Market Shares'!J$7,'FCC 16 Connections'!$6:$6,0))="*",INDEX('FCC 16 Connections'!$1:$1048576,MATCH("*"&amp;'Connections and Market Shares'!$A17&amp;"*",'FCC 16 Connections'!$B:$B,0),MATCH('Connections and Market Shares'!J$7,'FCC 16 Connections'!$6:$6,0))="NA"),"",INDEX('FCC 16 Connections'!$1:$1048576,MATCH("*"&amp;'Connections and Market Shares'!$A17&amp;"*",'FCC 16 Connections'!$B:$B,0),MATCH('Connections and Market Shares'!J$7,'FCC 16 Connections'!$6:$6,0)))</f>
        <v>4954</v>
      </c>
      <c r="K17" s="43">
        <f>IFERROR(J17/J$24,"")</f>
        <v>1.8167615876310588E-2</v>
      </c>
      <c r="M17" s="12">
        <f>IF(OR(INDEX('FCC 16 Connections'!$1:$1048576,MATCH("*"&amp;'Connections and Market Shares'!$A17&amp;"*",'FCC 16 Connections'!$B:$B,0),MATCH('Connections and Market Shares'!M$7,'FCC 16 Connections'!$6:$6,0))="*",INDEX('FCC 16 Connections'!$1:$1048576,MATCH("*"&amp;'Connections and Market Shares'!$A17&amp;"*",'FCC 16 Connections'!$B:$B,0),MATCH('Connections and Market Shares'!M$7,'FCC 16 Connections'!$6:$6,0))="NA"),"",INDEX('FCC 16 Connections'!$1:$1048576,MATCH("*"&amp;'Connections and Market Shares'!$A17&amp;"*",'FCC 16 Connections'!$B:$B,0),MATCH('Connections and Market Shares'!M$7,'FCC 16 Connections'!$6:$6,0)))</f>
        <v>5518</v>
      </c>
      <c r="N17" s="43">
        <f t="shared" si="3"/>
        <v>1.8802603332538248E-2</v>
      </c>
      <c r="P17" s="12">
        <f>IF(OR(INDEX('FCC 16 Connections'!$1:$1048576,MATCH("*"&amp;'Connections and Market Shares'!$A17&amp;"*",'FCC 16 Connections'!$B:$B,0),MATCH('Connections and Market Shares'!P$7,'FCC 16 Connections'!$6:$6,0))="*",INDEX('FCC 16 Connections'!$1:$1048576,MATCH("*"&amp;'Connections and Market Shares'!$A17&amp;"*",'FCC 16 Connections'!$B:$B,0),MATCH('Connections and Market Shares'!P$7,'FCC 16 Connections'!$6:$6,0))="NA"),"",INDEX('FCC 16 Connections'!$1:$1048576,MATCH("*"&amp;'Connections and Market Shares'!$A17&amp;"*",'FCC 16 Connections'!$B:$B,0),MATCH('Connections and Market Shares'!P$7,'FCC 16 Connections'!$6:$6,0)))</f>
        <v>5934</v>
      </c>
      <c r="Q17" s="43">
        <f t="shared" si="4"/>
        <v>1.8739164348218769E-2</v>
      </c>
      <c r="S17" s="29">
        <f>IF(OR(INDEX('FCC 19 Connections'!$1:$1048576,MATCH("*"&amp;'Connections and Market Shares'!$A17&amp;"*",'FCC 19 Connections'!$B:$B,0),MATCH('Connections and Market Shares'!S$7,'FCC 19 Connections'!$1:$1,0))="*",INDEX('FCC 19 Connections'!$1:$1048576,MATCH("*"&amp;'Connections and Market Shares'!$A17&amp;"*",'FCC 19 Connections'!$B:$B,0),MATCH('Connections and Market Shares'!S$7,'FCC 19 Connections'!$1:$1,0))="NA"),"",INDEX('FCC 19 Connections'!$1:$1048576,MATCH("*"&amp;'Connections and Market Shares'!$A17&amp;"*",'FCC 19 Connections'!$B:$B,0),MATCH('Connections and Market Shares'!S$7,'FCC 19 Connections'!$1:$1,0)))</f>
        <v>5297</v>
      </c>
      <c r="T17" s="43">
        <f t="shared" si="5"/>
        <v>1.6037955788893634E-2</v>
      </c>
      <c r="V17" s="29">
        <f>IF(OR(INDEX('FCC 20 Connections'!$1:$1048576,MATCH("*"&amp;'Connections and Market Shares'!$A17&amp;"*",'FCC 20 Connections'!$B:$B,0),MATCH('Connections and Market Shares'!V$7,'FCC 20 Connections'!$1:$1,0))="*",INDEX('FCC 20 Connections'!$1:$1048576,MATCH("*"&amp;'Connections and Market Shares'!$A17&amp;"*",'FCC 20 Connections'!$B:$B,0),MATCH('Connections and Market Shares'!V$7,'FCC 20 Connections'!$1:$1,0))="NA"),"",INDEX('FCC 20 Connections'!$1:$1048576,MATCH("*"&amp;'Connections and Market Shares'!$A17&amp;"*",'FCC 20 Connections'!$B:$B,0),MATCH('Connections and Market Shares'!V$7,'FCC 20 Connections'!$1:$1,0)))</f>
        <v>4551</v>
      </c>
      <c r="W17" s="43">
        <f t="shared" si="6"/>
        <v>1.3105944759781942E-2</v>
      </c>
      <c r="Y17" s="29" t="str">
        <f>IF(OR(INDEX('FCC 20 Connections'!$1:$1048576,MATCH("*"&amp;'Connections and Market Shares'!$A17&amp;"*",'FCC 20 Connections'!$B:$B,0),MATCH('Connections and Market Shares'!Y$7,'FCC 20 Connections'!$1:$1,0))="*",INDEX('FCC 20 Connections'!$1:$1048576,MATCH("*"&amp;'Connections and Market Shares'!$A17&amp;"*",'FCC 20 Connections'!$B:$B,0),MATCH('Connections and Market Shares'!Y$7,'FCC 20 Connections'!$1:$1,0))="NA"),"",INDEX('FCC 20 Connections'!$1:$1048576,MATCH("*"&amp;'Connections and Market Shares'!$A17&amp;"*",'FCC 20 Connections'!$B:$B,0),MATCH('Connections and Market Shares'!Y$7,'FCC 20 Connections'!$1:$1,0)))</f>
        <v/>
      </c>
      <c r="Z17" s="43" t="str">
        <f t="shared" si="7"/>
        <v/>
      </c>
      <c r="AB17" s="29" t="str">
        <f>IF(OR(INDEX('FCC 20 Connections'!$1:$1048576,MATCH("*"&amp;'Connections and Market Shares'!$A17&amp;"*",'FCC 20 Connections'!$B:$B,0),MATCH('Connections and Market Shares'!AB$7,'FCC 20 Connections'!$1:$1,0))="*",INDEX('FCC 20 Connections'!$1:$1048576,MATCH("*"&amp;'Connections and Market Shares'!$A17&amp;"*",'FCC 20 Connections'!$B:$B,0),MATCH('Connections and Market Shares'!AB$7,'FCC 20 Connections'!$1:$1,0))="NA"),"",INDEX('FCC 20 Connections'!$1:$1048576,MATCH("*"&amp;'Connections and Market Shares'!$A17&amp;"*",'FCC 20 Connections'!$B:$B,0),MATCH('Connections and Market Shares'!AB$7,'FCC 20 Connections'!$1:$1,0)))</f>
        <v/>
      </c>
      <c r="AC17" s="43" t="str">
        <f t="shared" si="8"/>
        <v/>
      </c>
      <c r="AE17" s="29" t="str">
        <f>IF(OR(INDEX('FCC 20 Connections'!$1:$1048576,MATCH("*"&amp;'Connections and Market Shares'!$A17&amp;"*",'FCC 20 Connections'!$B:$B,0),MATCH('Connections and Market Shares'!AE$7,'FCC 20 Connections'!$1:$1,0))="*",INDEX('FCC 20 Connections'!$1:$1048576,MATCH("*"&amp;'Connections and Market Shares'!$A17&amp;"*",'FCC 20 Connections'!$B:$B,0),MATCH('Connections and Market Shares'!AE$7,'FCC 20 Connections'!$1:$1,0))="NA"),"",INDEX('FCC 20 Connections'!$1:$1048576,MATCH("*"&amp;'Connections and Market Shares'!$A17&amp;"*",'FCC 20 Connections'!$B:$B,0),MATCH('Connections and Market Shares'!AE$7,'FCC 20 Connections'!$1:$1,0)))</f>
        <v/>
      </c>
      <c r="AF17" s="43" t="str">
        <f t="shared" si="9"/>
        <v/>
      </c>
      <c r="AG17" s="24"/>
      <c r="AH17" s="24"/>
      <c r="AI17" s="24"/>
      <c r="AO17" s="24"/>
    </row>
    <row r="18" spans="1:41" x14ac:dyDescent="0.35">
      <c r="A18" s="18" t="s">
        <v>11</v>
      </c>
      <c r="B18" s="18">
        <f>MAX($B$11:B17)+1</f>
        <v>8</v>
      </c>
      <c r="E18" s="34" t="s">
        <v>57</v>
      </c>
      <c r="F18" s="23" t="str">
        <f t="shared" si="0"/>
        <v>[8]</v>
      </c>
      <c r="G18" s="12">
        <f>IF(OR(INDEX('FCC 16 Connections'!$1:$1048576,MATCH("*"&amp;'Connections and Market Shares'!$A18&amp;"*",'FCC 16 Connections'!$B:$B,0),MATCH('Connections and Market Shares'!G$7,'FCC 16 Connections'!$6:$6,0))="*",INDEX('FCC 16 Connections'!$1:$1048576,MATCH("*"&amp;'Connections and Market Shares'!$A18&amp;"*",'FCC 16 Connections'!$B:$B,0),MATCH('Connections and Market Shares'!G$7,'FCC 16 Connections'!$6:$6,0))="NA"),"",INDEX('FCC 16 Connections'!$1:$1048576,MATCH("*"&amp;'Connections and Market Shares'!$A18&amp;"*",'FCC 16 Connections'!$B:$B,0),MATCH('Connections and Market Shares'!G$7,'FCC 16 Connections'!$6:$6,0)))</f>
        <v>6196</v>
      </c>
      <c r="H18" s="43">
        <f t="shared" si="1"/>
        <v>2.5001008756002099E-2</v>
      </c>
      <c r="J18" s="12">
        <f>IF(OR(INDEX('FCC 16 Connections'!$1:$1048576,MATCH("*"&amp;'Connections and Market Shares'!$A18&amp;"*",'FCC 16 Connections'!$B:$B,0),MATCH('Connections and Market Shares'!J$7,'FCC 16 Connections'!$6:$6,0))="*",INDEX('FCC 16 Connections'!$1:$1048576,MATCH("*"&amp;'Connections and Market Shares'!$A18&amp;"*",'FCC 16 Connections'!$B:$B,0),MATCH('Connections and Market Shares'!J$7,'FCC 16 Connections'!$6:$6,0))="NA"),"",INDEX('FCC 16 Connections'!$1:$1048576,MATCH("*"&amp;'Connections and Market Shares'!$A18&amp;"*",'FCC 16 Connections'!$B:$B,0),MATCH('Connections and Market Shares'!J$7,'FCC 16 Connections'!$6:$6,0)))</f>
        <v>6141</v>
      </c>
      <c r="K18" s="43">
        <f>IFERROR(J18/J$24,"")</f>
        <v>2.2520655853133491E-2</v>
      </c>
      <c r="M18" s="12">
        <f>IF(OR(INDEX('FCC 16 Connections'!$1:$1048576,MATCH("*"&amp;'Connections and Market Shares'!$A18&amp;"*",'FCC 16 Connections'!$B:$B,0),MATCH('Connections and Market Shares'!M$7,'FCC 16 Connections'!$6:$6,0))="*",INDEX('FCC 16 Connections'!$1:$1048576,MATCH("*"&amp;'Connections and Market Shares'!$A18&amp;"*",'FCC 16 Connections'!$B:$B,0),MATCH('Connections and Market Shares'!M$7,'FCC 16 Connections'!$6:$6,0))="NA"),"",INDEX('FCC 16 Connections'!$1:$1048576,MATCH("*"&amp;'Connections and Market Shares'!$A18&amp;"*",'FCC 16 Connections'!$B:$B,0),MATCH('Connections and Market Shares'!M$7,'FCC 16 Connections'!$6:$6,0)))</f>
        <v>6072</v>
      </c>
      <c r="N18" s="43">
        <f t="shared" si="3"/>
        <v>2.069036017310117E-2</v>
      </c>
      <c r="P18" s="12">
        <f>IF(OR(INDEX('FCC 16 Connections'!$1:$1048576,MATCH("*"&amp;'Connections and Market Shares'!$A18&amp;"*",'FCC 16 Connections'!$B:$B,0),MATCH('Connections and Market Shares'!P$7,'FCC 16 Connections'!$6:$6,0))="*",INDEX('FCC 16 Connections'!$1:$1048576,MATCH("*"&amp;'Connections and Market Shares'!$A18&amp;"*",'FCC 16 Connections'!$B:$B,0),MATCH('Connections and Market Shares'!P$7,'FCC 16 Connections'!$6:$6,0))="NA"),"",INDEX('FCC 16 Connections'!$1:$1048576,MATCH("*"&amp;'Connections and Market Shares'!$A18&amp;"*",'FCC 16 Connections'!$B:$B,0),MATCH('Connections and Market Shares'!P$7,'FCC 16 Connections'!$6:$6,0)))</f>
        <v>5891</v>
      </c>
      <c r="Q18" s="43">
        <f t="shared" si="4"/>
        <v>1.8603373302217185E-2</v>
      </c>
      <c r="S18" s="29">
        <f>IF(OR(INDEX('FCC 19 Connections'!$1:$1048576,MATCH("*"&amp;'Connections and Market Shares'!$A18&amp;"*",'FCC 19 Connections'!$B:$B,0),MATCH('Connections and Market Shares'!S$7,'FCC 19 Connections'!$1:$1,0))="*",INDEX('FCC 19 Connections'!$1:$1048576,MATCH("*"&amp;'Connections and Market Shares'!$A18&amp;"*",'FCC 19 Connections'!$B:$B,0),MATCH('Connections and Market Shares'!S$7,'FCC 19 Connections'!$1:$1,0))="NA"),"",INDEX('FCC 19 Connections'!$1:$1048576,MATCH("*"&amp;'Connections and Market Shares'!$A18&amp;"*",'FCC 19 Connections'!$B:$B,0),MATCH('Connections and Market Shares'!S$7,'FCC 19 Connections'!$1:$1,0)))</f>
        <v>5798</v>
      </c>
      <c r="T18" s="43">
        <f t="shared" si="5"/>
        <v>1.7554855137626068E-2</v>
      </c>
      <c r="V18" s="29">
        <f>IF(OR(INDEX('FCC 20 Connections'!$1:$1048576,MATCH("*"&amp;'Connections and Market Shares'!$A18&amp;"*",'FCC 20 Connections'!$B:$B,0),MATCH('Connections and Market Shares'!V$7,'FCC 20 Connections'!$1:$1,0))="*",INDEX('FCC 20 Connections'!$1:$1048576,MATCH("*"&amp;'Connections and Market Shares'!$A18&amp;"*",'FCC 20 Connections'!$B:$B,0),MATCH('Connections and Market Shares'!V$7,'FCC 20 Connections'!$1:$1,0))="NA"),"",INDEX('FCC 20 Connections'!$1:$1048576,MATCH("*"&amp;'Connections and Market Shares'!$A18&amp;"*",'FCC 20 Connections'!$B:$B,0),MATCH('Connections and Market Shares'!V$7,'FCC 20 Connections'!$1:$1,0)))</f>
        <v>4774</v>
      </c>
      <c r="W18" s="43">
        <f t="shared" si="6"/>
        <v>1.3748138932805755E-2</v>
      </c>
      <c r="Y18" s="29">
        <f>IF(OR(INDEX('FCC 20 Connections'!$1:$1048576,MATCH("*"&amp;'Connections and Market Shares'!$A18&amp;"*",'FCC 20 Connections'!$B:$B,0),MATCH('Connections and Market Shares'!Y$7,'FCC 20 Connections'!$1:$1,0))="*",INDEX('FCC 20 Connections'!$1:$1048576,MATCH("*"&amp;'Connections and Market Shares'!$A18&amp;"*",'FCC 20 Connections'!$B:$B,0),MATCH('Connections and Market Shares'!Y$7,'FCC 20 Connections'!$1:$1,0))="NA"),"",INDEX('FCC 20 Connections'!$1:$1048576,MATCH("*"&amp;'Connections and Market Shares'!$A18&amp;"*",'FCC 20 Connections'!$B:$B,0),MATCH('Connections and Market Shares'!Y$7,'FCC 20 Connections'!$1:$1,0)))</f>
        <v>4760</v>
      </c>
      <c r="Z18" s="43">
        <f t="shared" si="7"/>
        <v>1.2813955366516812E-2</v>
      </c>
      <c r="AB18" s="29">
        <f>IF(OR(INDEX('FCC 20 Connections'!$1:$1048576,MATCH("*"&amp;'Connections and Market Shares'!$A18&amp;"*",'FCC 20 Connections'!$B:$B,0),MATCH('Connections and Market Shares'!AB$7,'FCC 20 Connections'!$1:$1,0))="*",INDEX('FCC 20 Connections'!$1:$1048576,MATCH("*"&amp;'Connections and Market Shares'!$A18&amp;"*",'FCC 20 Connections'!$B:$B,0),MATCH('Connections and Market Shares'!AB$7,'FCC 20 Connections'!$1:$1,0))="NA"),"",INDEX('FCC 20 Connections'!$1:$1048576,MATCH("*"&amp;'Connections and Market Shares'!$A18&amp;"*",'FCC 20 Connections'!$B:$B,0),MATCH('Connections and Market Shares'!AB$7,'FCC 20 Connections'!$1:$1,0)))</f>
        <v>4876</v>
      </c>
      <c r="AC18" s="43">
        <f t="shared" si="8"/>
        <v>1.2293108447100052E-2</v>
      </c>
      <c r="AE18" s="29">
        <f>IF(OR(INDEX('FCC 20 Connections'!$1:$1048576,MATCH("*"&amp;'Connections and Market Shares'!$A18&amp;"*",'FCC 20 Connections'!$B:$B,0),MATCH('Connections and Market Shares'!AE$7,'FCC 20 Connections'!$1:$1,0))="*",INDEX('FCC 20 Connections'!$1:$1048576,MATCH("*"&amp;'Connections and Market Shares'!$A18&amp;"*",'FCC 20 Connections'!$B:$B,0),MATCH('Connections and Market Shares'!AE$7,'FCC 20 Connections'!$1:$1,0))="NA"),"",INDEX('FCC 20 Connections'!$1:$1048576,MATCH("*"&amp;'Connections and Market Shares'!$A18&amp;"*",'FCC 20 Connections'!$B:$B,0),MATCH('Connections and Market Shares'!AE$7,'FCC 20 Connections'!$1:$1,0)))</f>
        <v>5079</v>
      </c>
      <c r="AF18" s="43">
        <f t="shared" si="9"/>
        <v>1.2186197613626276E-2</v>
      </c>
      <c r="AG18" s="24"/>
      <c r="AH18" s="24"/>
      <c r="AI18" s="24"/>
      <c r="AK18" s="24"/>
      <c r="AL18" s="24"/>
      <c r="AM18" s="24"/>
      <c r="AN18" s="24"/>
      <c r="AO18" s="24"/>
    </row>
    <row r="19" spans="1:41" x14ac:dyDescent="0.35">
      <c r="A19" s="18" t="s">
        <v>58</v>
      </c>
      <c r="B19" s="18">
        <f>MAX($B$11:B18)+1</f>
        <v>9</v>
      </c>
      <c r="C19" s="18">
        <f>VALUE(RIGHT(G19,LEN(G19)-1))</f>
        <v>800</v>
      </c>
      <c r="E19" t="s">
        <v>58</v>
      </c>
      <c r="F19" s="23" t="str">
        <f t="shared" si="0"/>
        <v>[9]</v>
      </c>
      <c r="G19" s="12" t="str">
        <f>IF(OR(INDEX('FCC 16 Connections'!$1:$1048576,MATCH("*"&amp;'Connections and Market Shares'!$A19&amp;"*",'FCC 16 Connections'!$B:$B,0),MATCH('Connections and Market Shares'!G$7,'FCC 16 Connections'!$6:$6,0))="*",INDEX('FCC 16 Connections'!$1:$1048576,MATCH("*"&amp;'Connections and Market Shares'!$A19&amp;"*",'FCC 16 Connections'!$B:$B,0),MATCH('Connections and Market Shares'!G$7,'FCC 16 Connections'!$6:$6,0))="NA"),"",INDEX('FCC 16 Connections'!$1:$1048576,MATCH("*"&amp;'Connections and Market Shares'!$A19&amp;"*",'FCC 16 Connections'!$B:$B,0),MATCH('Connections and Market Shares'!G$7,'FCC 16 Connections'!$6:$6,0)))</f>
        <v>≈800</v>
      </c>
      <c r="H19" s="43">
        <f>IFERROR(G19/G$24,IFERROR(C19/$G24,""))</f>
        <v>3.2280192067142797E-3</v>
      </c>
      <c r="I19" s="24"/>
      <c r="J19" s="12" t="str">
        <f>IF(OR(INDEX('FCC 16 Connections'!$1:$1048576,MATCH("*"&amp;'Connections and Market Shares'!$A19&amp;"*",'FCC 16 Connections'!$B:$B,0),MATCH('Connections and Market Shares'!J$7,'FCC 16 Connections'!$6:$6,0))="*",INDEX('FCC 16 Connections'!$1:$1048576,MATCH("*"&amp;'Connections and Market Shares'!$A19&amp;"*",'FCC 16 Connections'!$B:$B,0),MATCH('Connections and Market Shares'!J$7,'FCC 16 Connections'!$6:$6,0))="NA"),"",INDEX('FCC 16 Connections'!$1:$1048576,MATCH("*"&amp;'Connections and Market Shares'!$A19&amp;"*",'FCC 16 Connections'!$B:$B,0),MATCH('Connections and Market Shares'!J$7,'FCC 16 Connections'!$6:$6,0)))</f>
        <v>≈800</v>
      </c>
      <c r="K19" s="43">
        <f>IFERROR(J19/J$24,IFERROR(C20/$J24,""))</f>
        <v>2.9338095884231872E-3</v>
      </c>
      <c r="L19" s="24"/>
      <c r="M19" s="12" t="str">
        <f>IF(OR(INDEX('FCC 16 Connections'!$1:$1048576,MATCH("*"&amp;'Connections and Market Shares'!$A19&amp;"*",'FCC 16 Connections'!$B:$B,0),MATCH('Connections and Market Shares'!M$7,'FCC 16 Connections'!$6:$6,0))="*",INDEX('FCC 16 Connections'!$1:$1048576,MATCH("*"&amp;'Connections and Market Shares'!$A19&amp;"*",'FCC 16 Connections'!$B:$B,0),MATCH('Connections and Market Shares'!M$7,'FCC 16 Connections'!$6:$6,0))="NA"),"",INDEX('FCC 16 Connections'!$1:$1048576,MATCH("*"&amp;'Connections and Market Shares'!$A19&amp;"*",'FCC 16 Connections'!$B:$B,0),MATCH('Connections and Market Shares'!M$7,'FCC 16 Connections'!$6:$6,0)))</f>
        <v/>
      </c>
      <c r="N19" s="43" t="str">
        <f t="shared" si="3"/>
        <v/>
      </c>
      <c r="O19" s="24"/>
      <c r="P19" s="12" t="str">
        <f>IF(OR(INDEX('FCC 16 Connections'!$1:$1048576,MATCH("*"&amp;'Connections and Market Shares'!$A19&amp;"*",'FCC 16 Connections'!$B:$B,0),MATCH('Connections and Market Shares'!P$7,'FCC 16 Connections'!$6:$6,0))="*",INDEX('FCC 16 Connections'!$1:$1048576,MATCH("*"&amp;'Connections and Market Shares'!$A19&amp;"*",'FCC 16 Connections'!$B:$B,0),MATCH('Connections and Market Shares'!P$7,'FCC 16 Connections'!$6:$6,0))="NA"),"",INDEX('FCC 16 Connections'!$1:$1048576,MATCH("*"&amp;'Connections and Market Shares'!$A19&amp;"*",'FCC 16 Connections'!$B:$B,0),MATCH('Connections and Market Shares'!P$7,'FCC 16 Connections'!$6:$6,0)))</f>
        <v>≈1,000</v>
      </c>
      <c r="Q19" s="43">
        <f>IFERROR(P19/P$24,IFERROR(C21/$P24,""))</f>
        <v>3.1579313023624486E-3</v>
      </c>
      <c r="R19" s="24"/>
      <c r="S19" s="29" t="str">
        <f>IF(OR(INDEX('FCC 19 Connections'!$1:$1048576,MATCH("*"&amp;'Connections and Market Shares'!$A19&amp;"*",'FCC 19 Connections'!$B:$B,0),MATCH('Connections and Market Shares'!S$7,'FCC 19 Connections'!$1:$1,0))="*",INDEX('FCC 19 Connections'!$1:$1048576,MATCH("*"&amp;'Connections and Market Shares'!$A19&amp;"*",'FCC 19 Connections'!$B:$B,0),MATCH('Connections and Market Shares'!S$7,'FCC 19 Connections'!$1:$1,0))="NA"),"",INDEX('FCC 19 Connections'!$1:$1048576,MATCH("*"&amp;'Connections and Market Shares'!$A19&amp;"*",'FCC 19 Connections'!$B:$B,0),MATCH('Connections and Market Shares'!S$7,'FCC 19 Connections'!$1:$1,0)))</f>
        <v xml:space="preserve"> </v>
      </c>
      <c r="T19" s="43" t="str">
        <f t="shared" si="5"/>
        <v/>
      </c>
      <c r="U19" s="24"/>
      <c r="V19" s="29" t="str">
        <f>IF(OR(INDEX('FCC 20 Connections'!$1:$1048576,MATCH("*"&amp;'Connections and Market Shares'!$A19&amp;"*",'FCC 20 Connections'!$B:$B,0),MATCH('Connections and Market Shares'!V$7,'FCC 20 Connections'!$1:$1,0))="*",INDEX('FCC 20 Connections'!$1:$1048576,MATCH("*"&amp;'Connections and Market Shares'!$A19&amp;"*",'FCC 20 Connections'!$B:$B,0),MATCH('Connections and Market Shares'!V$7,'FCC 20 Connections'!$1:$1,0))="NA"),"",INDEX('FCC 20 Connections'!$1:$1048576,MATCH("*"&amp;'Connections and Market Shares'!$A19&amp;"*",'FCC 20 Connections'!$B:$B,0),MATCH('Connections and Market Shares'!V$7,'FCC 20 Connections'!$1:$1,0)))</f>
        <v xml:space="preserve"> </v>
      </c>
      <c r="W19" s="43" t="str">
        <f t="shared" si="6"/>
        <v/>
      </c>
      <c r="X19" s="24"/>
      <c r="Y19" s="29" t="str">
        <f>IF(OR(INDEX('FCC 20 Connections'!$1:$1048576,MATCH("*"&amp;'Connections and Market Shares'!$A19&amp;"*",'FCC 20 Connections'!$B:$B,0),MATCH('Connections and Market Shares'!Y$7,'FCC 20 Connections'!$1:$1,0))="*",INDEX('FCC 20 Connections'!$1:$1048576,MATCH("*"&amp;'Connections and Market Shares'!$A19&amp;"*",'FCC 20 Connections'!$B:$B,0),MATCH('Connections and Market Shares'!Y$7,'FCC 20 Connections'!$1:$1,0))="NA"),"",INDEX('FCC 20 Connections'!$1:$1048576,MATCH("*"&amp;'Connections and Market Shares'!$A19&amp;"*",'FCC 20 Connections'!$B:$B,0),MATCH('Connections and Market Shares'!Y$7,'FCC 20 Connections'!$1:$1,0)))</f>
        <v xml:space="preserve"> </v>
      </c>
      <c r="Z19" s="43" t="str">
        <f t="shared" si="7"/>
        <v/>
      </c>
      <c r="AA19" s="24"/>
      <c r="AB19" s="29" t="str">
        <f>IF(OR(INDEX('FCC 20 Connections'!$1:$1048576,MATCH("*"&amp;'Connections and Market Shares'!$A19&amp;"*",'FCC 20 Connections'!$B:$B,0),MATCH('Connections and Market Shares'!AB$7,'FCC 20 Connections'!$1:$1,0))="*",INDEX('FCC 20 Connections'!$1:$1048576,MATCH("*"&amp;'Connections and Market Shares'!$A19&amp;"*",'FCC 20 Connections'!$B:$B,0),MATCH('Connections and Market Shares'!AB$7,'FCC 20 Connections'!$1:$1,0))="NA"),"",INDEX('FCC 20 Connections'!$1:$1048576,MATCH("*"&amp;'Connections and Market Shares'!$A19&amp;"*",'FCC 20 Connections'!$B:$B,0),MATCH('Connections and Market Shares'!AB$7,'FCC 20 Connections'!$1:$1,0)))</f>
        <v xml:space="preserve"> </v>
      </c>
      <c r="AC19" s="43" t="str">
        <f t="shared" si="8"/>
        <v/>
      </c>
      <c r="AD19" s="24"/>
      <c r="AE19" s="29" t="str">
        <f>IF(OR(INDEX('FCC 20 Connections'!$1:$1048576,MATCH("*"&amp;'Connections and Market Shares'!$A19&amp;"*",'FCC 20 Connections'!$B:$B,0),MATCH('Connections and Market Shares'!AE$7,'FCC 20 Connections'!$1:$1,0))="*",INDEX('FCC 20 Connections'!$1:$1048576,MATCH("*"&amp;'Connections and Market Shares'!$A19&amp;"*",'FCC 20 Connections'!$B:$B,0),MATCH('Connections and Market Shares'!AE$7,'FCC 20 Connections'!$1:$1,0))="NA"),"",INDEX('FCC 20 Connections'!$1:$1048576,MATCH("*"&amp;'Connections and Market Shares'!$A19&amp;"*",'FCC 20 Connections'!$B:$B,0),MATCH('Connections and Market Shares'!AE$7,'FCC 20 Connections'!$1:$1,0)))</f>
        <v xml:space="preserve"> </v>
      </c>
      <c r="AF19" s="43" t="str">
        <f t="shared" si="9"/>
        <v/>
      </c>
      <c r="AK19" s="24"/>
    </row>
    <row r="20" spans="1:41" x14ac:dyDescent="0.35">
      <c r="A20" s="18" t="s">
        <v>12</v>
      </c>
      <c r="B20" s="18">
        <f>MAX($B$11:B19)+1</f>
        <v>10</v>
      </c>
      <c r="C20" s="18">
        <f>VALUE(RIGHT(J19,LEN(J19)-1))</f>
        <v>800</v>
      </c>
      <c r="E20" s="24" t="s">
        <v>12</v>
      </c>
      <c r="F20" s="23" t="str">
        <f t="shared" si="0"/>
        <v>[10]</v>
      </c>
      <c r="G20" s="12" t="str">
        <f>IF(OR(INDEX('FCC 16 Connections'!$1:$1048576,MATCH("*"&amp;'Connections and Market Shares'!$A20&amp;"*",'FCC 16 Connections'!$B:$B,0),MATCH('Connections and Market Shares'!G$7,'FCC 16 Connections'!$6:$6,0))="*",INDEX('FCC 16 Connections'!$1:$1048576,MATCH("*"&amp;'Connections and Market Shares'!$A20&amp;"*",'FCC 16 Connections'!$B:$B,0),MATCH('Connections and Market Shares'!G$7,'FCC 16 Connections'!$6:$6,0))="NA"),"",INDEX('FCC 16 Connections'!$1:$1048576,MATCH("*"&amp;'Connections and Market Shares'!$A20&amp;"*",'FCC 16 Connections'!$B:$B,0),MATCH('Connections and Market Shares'!G$7,'FCC 16 Connections'!$6:$6,0)))</f>
        <v/>
      </c>
      <c r="H20" s="43" t="str">
        <f t="shared" si="1"/>
        <v/>
      </c>
      <c r="I20" s="24"/>
      <c r="J20" s="12" t="str">
        <f>IF(OR(INDEX('FCC 16 Connections'!$1:$1048576,MATCH("*"&amp;'Connections and Market Shares'!$A20&amp;"*",'FCC 16 Connections'!$B:$B,0),MATCH('Connections and Market Shares'!J$7,'FCC 16 Connections'!$6:$6,0))="*",INDEX('FCC 16 Connections'!$1:$1048576,MATCH("*"&amp;'Connections and Market Shares'!$A20&amp;"*",'FCC 16 Connections'!$B:$B,0),MATCH('Connections and Market Shares'!J$7,'FCC 16 Connections'!$6:$6,0))="NA"),"",INDEX('FCC 16 Connections'!$1:$1048576,MATCH("*"&amp;'Connections and Market Shares'!$A20&amp;"*",'FCC 16 Connections'!$B:$B,0),MATCH('Connections and Market Shares'!J$7,'FCC 16 Connections'!$6:$6,0)))</f>
        <v/>
      </c>
      <c r="K20" s="43" t="str">
        <f>IFERROR(J20/J$24,"")</f>
        <v/>
      </c>
      <c r="L20" s="24"/>
      <c r="M20" s="12">
        <f>IF(OR(INDEX('FCC 16 Connections'!$1:$1048576,MATCH("*"&amp;'Connections and Market Shares'!$A20&amp;"*",'FCC 16 Connections'!$B:$B,0),MATCH('Connections and Market Shares'!M$7,'FCC 16 Connections'!$6:$6,0))="*",INDEX('FCC 16 Connections'!$1:$1048576,MATCH("*"&amp;'Connections and Market Shares'!$A20&amp;"*",'FCC 16 Connections'!$B:$B,0),MATCH('Connections and Market Shares'!M$7,'FCC 16 Connections'!$6:$6,0))="NA"),"",INDEX('FCC 16 Connections'!$1:$1048576,MATCH("*"&amp;'Connections and Market Shares'!$A20&amp;"*",'FCC 16 Connections'!$B:$B,0),MATCH('Connections and Market Shares'!M$7,'FCC 16 Connections'!$6:$6,0)))</f>
        <v>718</v>
      </c>
      <c r="N20" s="43">
        <f t="shared" si="3"/>
        <v>2.4465873854227008E-3</v>
      </c>
      <c r="O20" s="24"/>
      <c r="P20" s="12">
        <f>IF(OR(INDEX('FCC 16 Connections'!$1:$1048576,MATCH("*"&amp;'Connections and Market Shares'!$A20&amp;"*",'FCC 16 Connections'!$B:$B,0),MATCH('Connections and Market Shares'!P$7,'FCC 16 Connections'!$6:$6,0))="*",INDEX('FCC 16 Connections'!$1:$1048576,MATCH("*"&amp;'Connections and Market Shares'!$A20&amp;"*",'FCC 16 Connections'!$B:$B,0),MATCH('Connections and Market Shares'!P$7,'FCC 16 Connections'!$6:$6,0))="NA"),"",INDEX('FCC 16 Connections'!$1:$1048576,MATCH("*"&amp;'Connections and Market Shares'!$A20&amp;"*",'FCC 16 Connections'!$B:$B,0),MATCH('Connections and Market Shares'!P$7,'FCC 16 Connections'!$6:$6,0)))</f>
        <v>582</v>
      </c>
      <c r="Q20" s="43">
        <f t="shared" si="4"/>
        <v>1.8379160179749449E-3</v>
      </c>
      <c r="R20" s="24"/>
      <c r="S20" s="29" t="str">
        <f>IF(OR(INDEX('FCC 19 Connections'!$1:$1048576,MATCH("*"&amp;'Connections and Market Shares'!$A20&amp;"*",'FCC 19 Connections'!$B:$B,0),MATCH('Connections and Market Shares'!S$7,'FCC 19 Connections'!$1:$1,0))="*",INDEX('FCC 19 Connections'!$1:$1048576,MATCH("*"&amp;'Connections and Market Shares'!$A20&amp;"*",'FCC 19 Connections'!$B:$B,0),MATCH('Connections and Market Shares'!S$7,'FCC 19 Connections'!$1:$1,0))="NA"),"",INDEX('FCC 19 Connections'!$1:$1048576,MATCH("*"&amp;'Connections and Market Shares'!$A20&amp;"*",'FCC 19 Connections'!$B:$B,0),MATCH('Connections and Market Shares'!S$7,'FCC 19 Connections'!$1:$1,0)))</f>
        <v xml:space="preserve"> </v>
      </c>
      <c r="T20" s="43" t="str">
        <f t="shared" si="5"/>
        <v/>
      </c>
      <c r="U20" s="24"/>
      <c r="V20" s="29" t="str">
        <f>IF(OR(INDEX('FCC 20 Connections'!$1:$1048576,MATCH("*"&amp;'Connections and Market Shares'!$A20&amp;"*",'FCC 20 Connections'!$B:$B,0),MATCH('Connections and Market Shares'!V$7,'FCC 20 Connections'!$1:$1,0))="*",INDEX('FCC 20 Connections'!$1:$1048576,MATCH("*"&amp;'Connections and Market Shares'!$A20&amp;"*",'FCC 20 Connections'!$B:$B,0),MATCH('Connections and Market Shares'!V$7,'FCC 20 Connections'!$1:$1,0))="NA"),"",INDEX('FCC 20 Connections'!$1:$1048576,MATCH("*"&amp;'Connections and Market Shares'!$A20&amp;"*",'FCC 20 Connections'!$B:$B,0),MATCH('Connections and Market Shares'!V$7,'FCC 20 Connections'!$1:$1,0)))</f>
        <v xml:space="preserve"> </v>
      </c>
      <c r="W20" s="43" t="str">
        <f t="shared" si="6"/>
        <v/>
      </c>
      <c r="X20" s="24"/>
      <c r="Y20" s="29" t="str">
        <f>IF(OR(INDEX('FCC 20 Connections'!$1:$1048576,MATCH("*"&amp;'Connections and Market Shares'!$A20&amp;"*",'FCC 20 Connections'!$B:$B,0),MATCH('Connections and Market Shares'!Y$7,'FCC 20 Connections'!$1:$1,0))="*",INDEX('FCC 20 Connections'!$1:$1048576,MATCH("*"&amp;'Connections and Market Shares'!$A20&amp;"*",'FCC 20 Connections'!$B:$B,0),MATCH('Connections and Market Shares'!Y$7,'FCC 20 Connections'!$1:$1,0))="NA"),"",INDEX('FCC 20 Connections'!$1:$1048576,MATCH("*"&amp;'Connections and Market Shares'!$A20&amp;"*",'FCC 20 Connections'!$B:$B,0),MATCH('Connections and Market Shares'!Y$7,'FCC 20 Connections'!$1:$1,0)))</f>
        <v xml:space="preserve"> </v>
      </c>
      <c r="Z20" s="43" t="str">
        <f t="shared" si="7"/>
        <v/>
      </c>
      <c r="AA20" s="24"/>
      <c r="AB20" s="29" t="str">
        <f>IF(OR(INDEX('FCC 20 Connections'!$1:$1048576,MATCH("*"&amp;'Connections and Market Shares'!$A20&amp;"*",'FCC 20 Connections'!$B:$B,0),MATCH('Connections and Market Shares'!AB$7,'FCC 20 Connections'!$1:$1,0))="*",INDEX('FCC 20 Connections'!$1:$1048576,MATCH("*"&amp;'Connections and Market Shares'!$A20&amp;"*",'FCC 20 Connections'!$B:$B,0),MATCH('Connections and Market Shares'!AB$7,'FCC 20 Connections'!$1:$1,0))="NA"),"",INDEX('FCC 20 Connections'!$1:$1048576,MATCH("*"&amp;'Connections and Market Shares'!$A20&amp;"*",'FCC 20 Connections'!$B:$B,0),MATCH('Connections and Market Shares'!AB$7,'FCC 20 Connections'!$1:$1,0)))</f>
        <v xml:space="preserve"> </v>
      </c>
      <c r="AC20" s="43" t="str">
        <f t="shared" si="8"/>
        <v/>
      </c>
      <c r="AD20" s="24"/>
      <c r="AE20" s="29" t="str">
        <f>IF(OR(INDEX('FCC 20 Connections'!$1:$1048576,MATCH("*"&amp;'Connections and Market Shares'!$A20&amp;"*",'FCC 20 Connections'!$B:$B,0),MATCH('Connections and Market Shares'!AE$7,'FCC 20 Connections'!$1:$1,0))="*",INDEX('FCC 20 Connections'!$1:$1048576,MATCH("*"&amp;'Connections and Market Shares'!$A20&amp;"*",'FCC 20 Connections'!$B:$B,0),MATCH('Connections and Market Shares'!AE$7,'FCC 20 Connections'!$1:$1,0))="NA"),"",INDEX('FCC 20 Connections'!$1:$1048576,MATCH("*"&amp;'Connections and Market Shares'!$A20&amp;"*",'FCC 20 Connections'!$B:$B,0),MATCH('Connections and Market Shares'!AE$7,'FCC 20 Connections'!$1:$1,0)))</f>
        <v xml:space="preserve"> </v>
      </c>
      <c r="AF20" s="43" t="str">
        <f t="shared" si="9"/>
        <v/>
      </c>
      <c r="AK20" s="24"/>
      <c r="AL20" s="24"/>
    </row>
    <row r="21" spans="1:41" x14ac:dyDescent="0.35">
      <c r="A21" s="18" t="s">
        <v>65</v>
      </c>
      <c r="B21" s="18">
        <f>MAX($B$11:B20)+1</f>
        <v>11</v>
      </c>
      <c r="C21" s="18">
        <f>VALUE(RIGHT(P19,LEN(P19)-1))</f>
        <v>1000</v>
      </c>
      <c r="E21" s="24" t="s">
        <v>13</v>
      </c>
      <c r="F21" s="23" t="str">
        <f t="shared" si="0"/>
        <v>[11]</v>
      </c>
      <c r="G21" s="12">
        <f>IF(OR(INDEX('FCC 16 Connections'!$1:$1048576,MATCH("*"&amp;'Connections and Market Shares'!$A21&amp;"*",'FCC 16 Connections'!$B:$B,0),MATCH('Connections and Market Shares'!G$7,'FCC 16 Connections'!$6:$6,0))="*",INDEX('FCC 16 Connections'!$1:$1048576,MATCH("*"&amp;'Connections and Market Shares'!$A21&amp;"*",'FCC 16 Connections'!$B:$B,0),MATCH('Connections and Market Shares'!G$7,'FCC 16 Connections'!$6:$6,0))="NA"),"",INDEX('FCC 16 Connections'!$1:$1048576,MATCH("*"&amp;'Connections and Market Shares'!$A21&amp;"*",'FCC 16 Connections'!$B:$B,0),MATCH('Connections and Market Shares'!G$7,'FCC 16 Connections'!$6:$6,0)))</f>
        <v>551</v>
      </c>
      <c r="H21" s="43">
        <f t="shared" si="1"/>
        <v>2.2232982286244604E-3</v>
      </c>
      <c r="I21" s="24"/>
      <c r="J21" s="12">
        <f>IF(OR(INDEX('FCC 16 Connections'!$1:$1048576,MATCH("*"&amp;'Connections and Market Shares'!$A21&amp;"*",'FCC 16 Connections'!$B:$B,0),MATCH('Connections and Market Shares'!J$7,'FCC 16 Connections'!$6:$6,0))="*",INDEX('FCC 16 Connections'!$1:$1048576,MATCH("*"&amp;'Connections and Market Shares'!$A21&amp;"*",'FCC 16 Connections'!$B:$B,0),MATCH('Connections and Market Shares'!J$7,'FCC 16 Connections'!$6:$6,0))="NA"),"",INDEX('FCC 16 Connections'!$1:$1048576,MATCH("*"&amp;'Connections and Market Shares'!$A21&amp;"*",'FCC 16 Connections'!$B:$B,0),MATCH('Connections and Market Shares'!J$7,'FCC 16 Connections'!$6:$6,0)))</f>
        <v>533</v>
      </c>
      <c r="K21" s="43">
        <f>IFERROR(J21/J$24,"")</f>
        <v>1.9546506382869485E-3</v>
      </c>
      <c r="L21" s="24"/>
      <c r="M21" s="12">
        <f>IF(OR(INDEX('FCC 16 Connections'!$1:$1048576,MATCH("*"&amp;'Connections and Market Shares'!$A21&amp;"*",'FCC 16 Connections'!$B:$B,0),MATCH('Connections and Market Shares'!M$7,'FCC 16 Connections'!$6:$6,0))="*",INDEX('FCC 16 Connections'!$1:$1048576,MATCH("*"&amp;'Connections and Market Shares'!$A21&amp;"*",'FCC 16 Connections'!$B:$B,0),MATCH('Connections and Market Shares'!M$7,'FCC 16 Connections'!$6:$6,0))="NA"),"",INDEX('FCC 16 Connections'!$1:$1048576,MATCH("*"&amp;'Connections and Market Shares'!$A21&amp;"*",'FCC 16 Connections'!$B:$B,0),MATCH('Connections and Market Shares'!M$7,'FCC 16 Connections'!$6:$6,0)))</f>
        <v>509</v>
      </c>
      <c r="N21" s="43">
        <f t="shared" si="3"/>
        <v>1.7344191910587112E-3</v>
      </c>
      <c r="O21" s="24"/>
      <c r="P21" s="12">
        <f>IF(OR(INDEX('FCC 16 Connections'!$1:$1048576,MATCH("*"&amp;'Connections and Market Shares'!$A21&amp;"*",'FCC 16 Connections'!$B:$B,0),MATCH('Connections and Market Shares'!P$7,'FCC 16 Connections'!$6:$6,0))="*",INDEX('FCC 16 Connections'!$1:$1048576,MATCH("*"&amp;'Connections and Market Shares'!$A21&amp;"*",'FCC 16 Connections'!$B:$B,0),MATCH('Connections and Market Shares'!P$7,'FCC 16 Connections'!$6:$6,0))="NA"),"",INDEX('FCC 16 Connections'!$1:$1048576,MATCH("*"&amp;'Connections and Market Shares'!$A21&amp;"*",'FCC 16 Connections'!$B:$B,0),MATCH('Connections and Market Shares'!P$7,'FCC 16 Connections'!$6:$6,0)))</f>
        <v>459</v>
      </c>
      <c r="Q21" s="43">
        <f t="shared" si="4"/>
        <v>1.4494904677843639E-3</v>
      </c>
      <c r="R21" s="24"/>
      <c r="S21" s="29">
        <f>IF(OR(INDEX('FCC 19 Connections'!$1:$1048576,MATCH("*"&amp;'Connections and Market Shares'!$A21&amp;"*",'FCC 19 Connections'!$B:$B,0),MATCH('Connections and Market Shares'!S$7,'FCC 19 Connections'!$1:$1,0))="*",INDEX('FCC 19 Connections'!$1:$1048576,MATCH("*"&amp;'Connections and Market Shares'!$A21&amp;"*",'FCC 19 Connections'!$B:$B,0),MATCH('Connections and Market Shares'!S$7,'FCC 19 Connections'!$1:$1,0))="NA"),"",INDEX('FCC 19 Connections'!$1:$1048576,MATCH("*"&amp;'Connections and Market Shares'!$A21&amp;"*",'FCC 19 Connections'!$B:$B,0),MATCH('Connections and Market Shares'!S$7,'FCC 19 Connections'!$1:$1,0)))</f>
        <v>398</v>
      </c>
      <c r="T21" s="43">
        <f t="shared" si="5"/>
        <v>1.2050417979950284E-3</v>
      </c>
      <c r="U21" s="24"/>
      <c r="V21" s="29">
        <f>IF(OR(INDEX('FCC 20 Connections'!$1:$1048576,MATCH("*"&amp;'Connections and Market Shares'!$A21&amp;"*",'FCC 20 Connections'!$B:$B,0),MATCH('Connections and Market Shares'!V$7,'FCC 20 Connections'!$1:$1,0))="*",INDEX('FCC 20 Connections'!$1:$1048576,MATCH("*"&amp;'Connections and Market Shares'!$A21&amp;"*",'FCC 20 Connections'!$B:$B,0),MATCH('Connections and Market Shares'!V$7,'FCC 20 Connections'!$1:$1,0))="NA"),"",INDEX('FCC 20 Connections'!$1:$1048576,MATCH("*"&amp;'Connections and Market Shares'!$A21&amp;"*",'FCC 20 Connections'!$B:$B,0),MATCH('Connections and Market Shares'!V$7,'FCC 20 Connections'!$1:$1,0)))</f>
        <v>340</v>
      </c>
      <c r="W21" s="43">
        <f t="shared" si="6"/>
        <v>9.7913012927397492E-4</v>
      </c>
      <c r="X21" s="24"/>
      <c r="Y21" s="29">
        <f>IF(OR(INDEX('FCC 20 Connections'!$1:$1048576,MATCH("*"&amp;'Connections and Market Shares'!$A21&amp;"*",'FCC 20 Connections'!$B:$B,0),MATCH('Connections and Market Shares'!Y$7,'FCC 20 Connections'!$1:$1,0))="*",INDEX('FCC 20 Connections'!$1:$1048576,MATCH("*"&amp;'Connections and Market Shares'!$A21&amp;"*",'FCC 20 Connections'!$B:$B,0),MATCH('Connections and Market Shares'!Y$7,'FCC 20 Connections'!$1:$1,0))="NA"),"",INDEX('FCC 20 Connections'!$1:$1048576,MATCH("*"&amp;'Connections and Market Shares'!$A21&amp;"*",'FCC 20 Connections'!$B:$B,0),MATCH('Connections and Market Shares'!Y$7,'FCC 20 Connections'!$1:$1,0)))</f>
        <v>82</v>
      </c>
      <c r="Z21" s="43">
        <f t="shared" si="7"/>
        <v>2.2074460925512155E-4</v>
      </c>
      <c r="AA21" s="24"/>
      <c r="AB21" s="29" t="str">
        <f>IF(OR(INDEX('FCC 20 Connections'!$1:$1048576,MATCH("*"&amp;'Connections and Market Shares'!$A21&amp;"*",'FCC 20 Connections'!$B:$B,0),MATCH('Connections and Market Shares'!AB$7,'FCC 20 Connections'!$1:$1,0))="*",INDEX('FCC 20 Connections'!$1:$1048576,MATCH("*"&amp;'Connections and Market Shares'!$A21&amp;"*",'FCC 20 Connections'!$B:$B,0),MATCH('Connections and Market Shares'!AB$7,'FCC 20 Connections'!$1:$1,0))="NA"),"",INDEX('FCC 20 Connections'!$1:$1048576,MATCH("*"&amp;'Connections and Market Shares'!$A21&amp;"*",'FCC 20 Connections'!$B:$B,0),MATCH('Connections and Market Shares'!AB$7,'FCC 20 Connections'!$1:$1,0)))</f>
        <v/>
      </c>
      <c r="AC21" s="43" t="str">
        <f t="shared" si="8"/>
        <v/>
      </c>
      <c r="AD21" s="24"/>
      <c r="AE21" s="29" t="str">
        <f>IF(OR(INDEX('FCC 20 Connections'!$1:$1048576,MATCH("*"&amp;'Connections and Market Shares'!$A21&amp;"*",'FCC 20 Connections'!$B:$B,0),MATCH('Connections and Market Shares'!AE$7,'FCC 20 Connections'!$1:$1,0))="*",INDEX('FCC 20 Connections'!$1:$1048576,MATCH("*"&amp;'Connections and Market Shares'!$A21&amp;"*",'FCC 20 Connections'!$B:$B,0),MATCH('Connections and Market Shares'!AE$7,'FCC 20 Connections'!$1:$1,0))="NA"),"",INDEX('FCC 20 Connections'!$1:$1048576,MATCH("*"&amp;'Connections and Market Shares'!$A21&amp;"*",'FCC 20 Connections'!$B:$B,0),MATCH('Connections and Market Shares'!AE$7,'FCC 20 Connections'!$1:$1,0)))</f>
        <v/>
      </c>
      <c r="AF21" s="43" t="str">
        <f t="shared" si="9"/>
        <v/>
      </c>
    </row>
    <row r="22" spans="1:41" x14ac:dyDescent="0.35">
      <c r="A22" s="18" t="s">
        <v>14</v>
      </c>
      <c r="B22" s="18">
        <f>MAX($B$11:B21)+1</f>
        <v>12</v>
      </c>
      <c r="E22" s="24" t="s">
        <v>14</v>
      </c>
      <c r="F22" s="23" t="str">
        <f t="shared" si="0"/>
        <v>[12]</v>
      </c>
      <c r="G22" s="12">
        <f>IF(OR(INDEX('FCC 16 Connections'!$1:$1048576,MATCH("*"&amp;'Connections and Market Shares'!$A22&amp;"*",'FCC 16 Connections'!$B:$B,0),MATCH('Connections and Market Shares'!G$7,'FCC 16 Connections'!$6:$6,0))="*",INDEX('FCC 16 Connections'!$1:$1048576,MATCH("*"&amp;'Connections and Market Shares'!$A22&amp;"*",'FCC 16 Connections'!$B:$B,0),MATCH('Connections and Market Shares'!G$7,'FCC 16 Connections'!$6:$6,0))="NA"),"",INDEX('FCC 16 Connections'!$1:$1048576,MATCH("*"&amp;'Connections and Market Shares'!$A22&amp;"*",'FCC 16 Connections'!$B:$B,0),MATCH('Connections and Market Shares'!G$7,'FCC 16 Connections'!$6:$6,0)))</f>
        <v>435</v>
      </c>
      <c r="H22" s="43">
        <f t="shared" si="1"/>
        <v>1.7552354436508896E-3</v>
      </c>
      <c r="I22" s="24"/>
      <c r="J22" s="12">
        <f>IF(OR(INDEX('FCC 16 Connections'!$1:$1048576,MATCH("*"&amp;'Connections and Market Shares'!$A22&amp;"*",'FCC 16 Connections'!$B:$B,0),MATCH('Connections and Market Shares'!J$7,'FCC 16 Connections'!$6:$6,0))="*",INDEX('FCC 16 Connections'!$1:$1048576,MATCH("*"&amp;'Connections and Market Shares'!$A22&amp;"*",'FCC 16 Connections'!$B:$B,0),MATCH('Connections and Market Shares'!J$7,'FCC 16 Connections'!$6:$6,0))="NA"),"",INDEX('FCC 16 Connections'!$1:$1048576,MATCH("*"&amp;'Connections and Market Shares'!$A22&amp;"*",'FCC 16 Connections'!$B:$B,0),MATCH('Connections and Market Shares'!J$7,'FCC 16 Connections'!$6:$6,0)))</f>
        <v>439</v>
      </c>
      <c r="K22" s="43">
        <f>IFERROR(J22/J$24,"")</f>
        <v>1.609928011647224E-3</v>
      </c>
      <c r="L22" s="24"/>
      <c r="M22" s="12">
        <f>IF(OR(INDEX('FCC 16 Connections'!$1:$1048576,MATCH("*"&amp;'Connections and Market Shares'!$A22&amp;"*",'FCC 16 Connections'!$B:$B,0),MATCH('Connections and Market Shares'!M$7,'FCC 16 Connections'!$6:$6,0))="*",INDEX('FCC 16 Connections'!$1:$1048576,MATCH("*"&amp;'Connections and Market Shares'!$A22&amp;"*",'FCC 16 Connections'!$B:$B,0),MATCH('Connections and Market Shares'!M$7,'FCC 16 Connections'!$6:$6,0))="NA"),"",INDEX('FCC 16 Connections'!$1:$1048576,MATCH("*"&amp;'Connections and Market Shares'!$A22&amp;"*",'FCC 16 Connections'!$B:$B,0),MATCH('Connections and Market Shares'!M$7,'FCC 16 Connections'!$6:$6,0)))</f>
        <v>438</v>
      </c>
      <c r="N22" s="43">
        <f t="shared" si="3"/>
        <v>1.4924864551742938E-3</v>
      </c>
      <c r="O22" s="24"/>
      <c r="P22" s="12">
        <f>IF(OR(INDEX('FCC 16 Connections'!$1:$1048576,MATCH("*"&amp;'Connections and Market Shares'!$A22&amp;"*",'FCC 16 Connections'!$B:$B,0),MATCH('Connections and Market Shares'!P$7,'FCC 16 Connections'!$6:$6,0))="*",INDEX('FCC 16 Connections'!$1:$1048576,MATCH("*"&amp;'Connections and Market Shares'!$A22&amp;"*",'FCC 16 Connections'!$B:$B,0),MATCH('Connections and Market Shares'!P$7,'FCC 16 Connections'!$6:$6,0))="NA"),"",INDEX('FCC 16 Connections'!$1:$1048576,MATCH("*"&amp;'Connections and Market Shares'!$A22&amp;"*",'FCC 16 Connections'!$B:$B,0),MATCH('Connections and Market Shares'!P$7,'FCC 16 Connections'!$6:$6,0)))</f>
        <v>415</v>
      </c>
      <c r="Q22" s="43">
        <f t="shared" si="4"/>
        <v>1.3105414904804162E-3</v>
      </c>
      <c r="R22" s="24"/>
      <c r="S22" s="29">
        <f>IF(OR(INDEX('FCC 19 Connections'!$1:$1048576,MATCH("*"&amp;'Connections and Market Shares'!$A22&amp;"*",'FCC 19 Connections'!$B:$B,0),MATCH('Connections and Market Shares'!S$7,'FCC 19 Connections'!$1:$1,0))="*",INDEX('FCC 19 Connections'!$1:$1048576,MATCH("*"&amp;'Connections and Market Shares'!$A22&amp;"*",'FCC 19 Connections'!$B:$B,0),MATCH('Connections and Market Shares'!S$7,'FCC 19 Connections'!$1:$1,0))="NA"),"",INDEX('FCC 19 Connections'!$1:$1048576,MATCH("*"&amp;'Connections and Market Shares'!$A22&amp;"*",'FCC 19 Connections'!$B:$B,0),MATCH('Connections and Market Shares'!S$7,'FCC 19 Connections'!$1:$1,0)))</f>
        <v>440</v>
      </c>
      <c r="T22" s="43">
        <f t="shared" si="5"/>
        <v>1.3322070128588255E-3</v>
      </c>
      <c r="U22" s="24"/>
      <c r="V22" s="29">
        <f>IF(OR(INDEX('FCC 20 Connections'!$1:$1048576,MATCH("*"&amp;'Connections and Market Shares'!$A22&amp;"*",'FCC 20 Connections'!$B:$B,0),MATCH('Connections and Market Shares'!V$7,'FCC 20 Connections'!$1:$1,0))="*",INDEX('FCC 20 Connections'!$1:$1048576,MATCH("*"&amp;'Connections and Market Shares'!$A22&amp;"*",'FCC 20 Connections'!$B:$B,0),MATCH('Connections and Market Shares'!V$7,'FCC 20 Connections'!$1:$1,0))="NA"),"",INDEX('FCC 20 Connections'!$1:$1048576,MATCH("*"&amp;'Connections and Market Shares'!$A22&amp;"*",'FCC 20 Connections'!$B:$B,0),MATCH('Connections and Market Shares'!V$7,'FCC 20 Connections'!$1:$1,0)))</f>
        <v>465</v>
      </c>
      <c r="W22" s="43">
        <f t="shared" si="6"/>
        <v>1.339104441507054E-3</v>
      </c>
      <c r="X22" s="24"/>
      <c r="Y22" s="29">
        <f>IF(OR(INDEX('FCC 20 Connections'!$1:$1048576,MATCH("*"&amp;'Connections and Market Shares'!$A22&amp;"*",'FCC 20 Connections'!$B:$B,0),MATCH('Connections and Market Shares'!Y$7,'FCC 20 Connections'!$1:$1,0))="*",INDEX('FCC 20 Connections'!$1:$1048576,MATCH("*"&amp;'Connections and Market Shares'!$A22&amp;"*",'FCC 20 Connections'!$B:$B,0),MATCH('Connections and Market Shares'!Y$7,'FCC 20 Connections'!$1:$1,0))="NA"),"",INDEX('FCC 20 Connections'!$1:$1048576,MATCH("*"&amp;'Connections and Market Shares'!$A22&amp;"*",'FCC 20 Connections'!$B:$B,0),MATCH('Connections and Market Shares'!Y$7,'FCC 20 Connections'!$1:$1,0)))</f>
        <v>449</v>
      </c>
      <c r="Z22" s="43">
        <f t="shared" si="7"/>
        <v>1.2087113360432875E-3</v>
      </c>
      <c r="AA22" s="24"/>
      <c r="AB22" s="29">
        <f>IF(OR(INDEX('FCC 20 Connections'!$1:$1048576,MATCH("*"&amp;'Connections and Market Shares'!$A22&amp;"*",'FCC 20 Connections'!$B:$B,0),MATCH('Connections and Market Shares'!AB$7,'FCC 20 Connections'!$1:$1,0))="*",INDEX('FCC 20 Connections'!$1:$1048576,MATCH("*"&amp;'Connections and Market Shares'!$A22&amp;"*",'FCC 20 Connections'!$B:$B,0),MATCH('Connections and Market Shares'!AB$7,'FCC 20 Connections'!$1:$1,0))="NA"),"",INDEX('FCC 20 Connections'!$1:$1048576,MATCH("*"&amp;'Connections and Market Shares'!$A22&amp;"*",'FCC 20 Connections'!$B:$B,0),MATCH('Connections and Market Shares'!AB$7,'FCC 20 Connections'!$1:$1,0)))</f>
        <v>306</v>
      </c>
      <c r="AC22" s="43">
        <f t="shared" si="8"/>
        <v>7.7147071058503191E-4</v>
      </c>
      <c r="AD22" s="24"/>
      <c r="AE22" s="29" t="str">
        <f>IF(OR(INDEX('FCC 20 Connections'!$1:$1048576,MATCH("*"&amp;'Connections and Market Shares'!$A22&amp;"*",'FCC 20 Connections'!$B:$B,0),MATCH('Connections and Market Shares'!AE$7,'FCC 20 Connections'!$1:$1,0))="*",INDEX('FCC 20 Connections'!$1:$1048576,MATCH("*"&amp;'Connections and Market Shares'!$A22&amp;"*",'FCC 20 Connections'!$B:$B,0),MATCH('Connections and Market Shares'!AE$7,'FCC 20 Connections'!$1:$1,0))="NA"),"",INDEX('FCC 20 Connections'!$1:$1048576,MATCH("*"&amp;'Connections and Market Shares'!$A22&amp;"*",'FCC 20 Connections'!$B:$B,0),MATCH('Connections and Market Shares'!AE$7,'FCC 20 Connections'!$1:$1,0)))</f>
        <v/>
      </c>
      <c r="AF22" s="43" t="str">
        <f>IFERROR(AE22/AE$24,"")</f>
        <v/>
      </c>
    </row>
    <row r="23" spans="1:41" ht="6" customHeight="1" x14ac:dyDescent="0.35">
      <c r="E23" s="24"/>
      <c r="F23" s="24"/>
      <c r="G23" s="29"/>
      <c r="I23" s="24"/>
      <c r="J23" t="str">
        <f>IF(OR(INDEX('FCC 16 Connections'!$B:$O,MATCH("*"&amp;'Connections and Market Shares'!$A23&amp;"*",'FCC 16 Connections'!$B:$B,0),MATCH('Connections and Market Shares'!J$7,'FCC 16 Connections'!$6:$6,0))=0,INDEX('FCC 16 Connections'!$B:$O,MATCH("*"&amp;'Connections and Market Shares'!$A23&amp;"*",'FCC 16 Connections'!$B:$B,0),MATCH('Connections and Market Shares'!J$7,'FCC 16 Connections'!$6:$6,0))="NA"),"*",INDEX('FCC 16 Connections'!$B:$O,MATCH("*"&amp;'Connections and Market Shares'!$A23&amp;"*",'FCC 16 Connections'!$B:$B,0),MATCH('Connections and Market Shares'!J$7,'FCC 16 Connections'!$6:$6,0)))</f>
        <v>*</v>
      </c>
      <c r="L23" s="24"/>
      <c r="O23" s="24"/>
      <c r="R23" s="24"/>
      <c r="S23" s="29" t="str">
        <f>IF(OR(INDEX('FCC 19 Connections'!$1:$1048576,MATCH("*"&amp;'Connections and Market Shares'!$A23&amp;"*",'FCC 19 Connections'!$B:$B,0),MATCH('Connections and Market Shares'!S$7,'FCC 19 Connections'!$1:$1,0))="*",INDEX('FCC 19 Connections'!$1:$1048576,MATCH("*"&amp;'Connections and Market Shares'!$A23&amp;"*",'FCC 19 Connections'!$B:$B,0),MATCH('Connections and Market Shares'!S$7,'FCC 19 Connections'!$1:$1,0))="NA"),"",INDEX('FCC 19 Connections'!$1:$1048576,MATCH("*"&amp;'Connections and Market Shares'!$A23&amp;"*",'FCC 19 Connections'!$B:$B,0),MATCH('Connections and Market Shares'!S$7,'FCC 19 Connections'!$1:$1,0)))</f>
        <v xml:space="preserve"> </v>
      </c>
      <c r="T23" s="23"/>
      <c r="U23" s="24"/>
      <c r="V23" s="29" t="str">
        <f>IF(OR(INDEX('FCC 20 Connections'!$1:$1048576,MATCH("*"&amp;'Connections and Market Shares'!$A23&amp;"*",'FCC 20 Connections'!$B:$B,0),MATCH('Connections and Market Shares'!V$7,'FCC 20 Connections'!$1:$1,0))="*",INDEX('FCC 20 Connections'!$1:$1048576,MATCH("*"&amp;'Connections and Market Shares'!$A23&amp;"*",'FCC 20 Connections'!$B:$B,0),MATCH('Connections and Market Shares'!V$7,'FCC 20 Connections'!$1:$1,0))="NA"),"",INDEX('FCC 20 Connections'!$1:$1048576,MATCH("*"&amp;'Connections and Market Shares'!$A23&amp;"*",'FCC 20 Connections'!$B:$B,0),MATCH('Connections and Market Shares'!V$7,'FCC 20 Connections'!$1:$1,0)))</f>
        <v xml:space="preserve"> </v>
      </c>
      <c r="W23" s="23"/>
      <c r="X23" s="24"/>
      <c r="Y23" s="29" t="str">
        <f>IF(OR(INDEX('FCC 20 Connections'!$1:$1048576,MATCH("*"&amp;'Connections and Market Shares'!$A23&amp;"*",'FCC 20 Connections'!$B:$B,0),MATCH('Connections and Market Shares'!Y$7,'FCC 20 Connections'!$1:$1,0))="*",INDEX('FCC 20 Connections'!$1:$1048576,MATCH("*"&amp;'Connections and Market Shares'!$A23&amp;"*",'FCC 20 Connections'!$B:$B,0),MATCH('Connections and Market Shares'!Y$7,'FCC 20 Connections'!$1:$1,0))="NA"),"",INDEX('FCC 20 Connections'!$1:$1048576,MATCH("*"&amp;'Connections and Market Shares'!$A23&amp;"*",'FCC 20 Connections'!$B:$B,0),MATCH('Connections and Market Shares'!Y$7,'FCC 20 Connections'!$1:$1,0)))</f>
        <v xml:space="preserve"> </v>
      </c>
      <c r="Z23" s="23"/>
      <c r="AA23" s="24"/>
      <c r="AB23" s="29" t="str">
        <f>IF(OR(INDEX('FCC 20 Connections'!$1:$1048576,MATCH("*"&amp;'Connections and Market Shares'!$A23&amp;"*",'FCC 20 Connections'!$B:$B,0),MATCH('Connections and Market Shares'!AB$7,'FCC 20 Connections'!$1:$1,0))="*",INDEX('FCC 20 Connections'!$1:$1048576,MATCH("*"&amp;'Connections and Market Shares'!$A23&amp;"*",'FCC 20 Connections'!$B:$B,0),MATCH('Connections and Market Shares'!AB$7,'FCC 20 Connections'!$1:$1,0))="NA"),"",INDEX('FCC 20 Connections'!$1:$1048576,MATCH("*"&amp;'Connections and Market Shares'!$A23&amp;"*",'FCC 20 Connections'!$B:$B,0),MATCH('Connections and Market Shares'!AB$7,'FCC 20 Connections'!$1:$1,0)))</f>
        <v xml:space="preserve"> </v>
      </c>
      <c r="AC23" s="23"/>
      <c r="AD23" s="24"/>
      <c r="AE23" s="29" t="str">
        <f>IF(OR(INDEX('FCC 20 Connections'!$1:$1048576,MATCH("*"&amp;'Connections and Market Shares'!$A23&amp;"*",'FCC 20 Connections'!$B:$B,0),MATCH('Connections and Market Shares'!AE$7,'FCC 20 Connections'!$1:$1,0))="*",INDEX('FCC 20 Connections'!$1:$1048576,MATCH("*"&amp;'Connections and Market Shares'!$A23&amp;"*",'FCC 20 Connections'!$B:$B,0),MATCH('Connections and Market Shares'!AE$7,'FCC 20 Connections'!$1:$1,0))="NA"),"",INDEX('FCC 20 Connections'!$1:$1048576,MATCH("*"&amp;'Connections and Market Shares'!$A23&amp;"*",'FCC 20 Connections'!$B:$B,0),MATCH('Connections and Market Shares'!AE$7,'FCC 20 Connections'!$1:$1,0)))</f>
        <v xml:space="preserve"> </v>
      </c>
    </row>
    <row r="24" spans="1:41" x14ac:dyDescent="0.35">
      <c r="A24" s="18" t="s">
        <v>66</v>
      </c>
      <c r="B24" s="18">
        <f>MAX($B$11:B23)+1</f>
        <v>13</v>
      </c>
      <c r="E24" s="63" t="s">
        <v>59</v>
      </c>
      <c r="F24" s="23" t="str">
        <f>"["&amp;B24&amp;"]"</f>
        <v>[13]</v>
      </c>
      <c r="G24" s="29">
        <f>SUM(G11:G18)+SUM(G20:G22)+C19</f>
        <v>247830</v>
      </c>
      <c r="H24" s="24"/>
      <c r="I24" s="24"/>
      <c r="J24" s="29">
        <f>SUM(J11:J18)+SUM(J20:J22)+C20</f>
        <v>272683</v>
      </c>
      <c r="K24" s="29"/>
      <c r="L24" s="29"/>
      <c r="M24" s="29">
        <f>SUM(M11:M18)+SUM(M20:M22)+C21</f>
        <v>293470</v>
      </c>
      <c r="N24" s="24"/>
      <c r="O24" s="24"/>
      <c r="P24" s="29">
        <f>SUM(P11:P22)</f>
        <v>316663</v>
      </c>
      <c r="Q24" s="29"/>
      <c r="R24" s="29"/>
      <c r="S24" s="29">
        <f>IF(OR(INDEX('FCC 19 Connections'!$1:$1048576,MATCH("*"&amp;'Connections and Market Shares'!$A24&amp;"*",'FCC 19 Connections'!$B:$B,0),MATCH('Connections and Market Shares'!S$7,'FCC 19 Connections'!$1:$1,0))="*",INDEX('FCC 19 Connections'!$1:$1048576,MATCH("*"&amp;'Connections and Market Shares'!$A24&amp;"*",'FCC 19 Connections'!$B:$B,0),MATCH('Connections and Market Shares'!S$7,'FCC 19 Connections'!$1:$1,0))="NA"),"",INDEX('FCC 19 Connections'!$1:$1048576,MATCH("*"&amp;'Connections and Market Shares'!$A24&amp;"*",'FCC 19 Connections'!$B:$B,0),MATCH('Connections and Market Shares'!S$7,'FCC 19 Connections'!$1:$1,0)))</f>
        <v>330279</v>
      </c>
      <c r="T24" s="24"/>
      <c r="U24" s="24"/>
      <c r="V24" s="29">
        <f>IF(OR(INDEX('FCC 20 Connections'!$1:$1048576,MATCH("*"&amp;'Connections and Market Shares'!$A24&amp;"*",'FCC 20 Connections'!$B:$B,0),MATCH('Connections and Market Shares'!V$7,'FCC 20 Connections'!$1:$1,0))="*",INDEX('FCC 20 Connections'!$1:$1048576,MATCH("*"&amp;'Connections and Market Shares'!$A24&amp;"*",'FCC 20 Connections'!$B:$B,0),MATCH('Connections and Market Shares'!V$7,'FCC 20 Connections'!$1:$1,0))="NA"),"",INDEX('FCC 20 Connections'!$1:$1048576,MATCH("*"&amp;'Connections and Market Shares'!$A24&amp;"*",'FCC 20 Connections'!$B:$B,0),MATCH('Connections and Market Shares'!V$7,'FCC 20 Connections'!$1:$1,0)))</f>
        <v>347247</v>
      </c>
      <c r="W24" s="24"/>
      <c r="X24" s="24"/>
      <c r="Y24" s="29">
        <f>IF(OR(INDEX('FCC 20 Connections'!$1:$1048576,MATCH("*"&amp;'Connections and Market Shares'!$A24&amp;"*",'FCC 20 Connections'!$B:$B,0),MATCH('Connections and Market Shares'!Y$7,'FCC 20 Connections'!$1:$1,0))="*",INDEX('FCC 20 Connections'!$1:$1048576,MATCH("*"&amp;'Connections and Market Shares'!$A24&amp;"*",'FCC 20 Connections'!$B:$B,0),MATCH('Connections and Market Shares'!Y$7,'FCC 20 Connections'!$1:$1,0))="NA"),"",INDEX('FCC 20 Connections'!$1:$1048576,MATCH("*"&amp;'Connections and Market Shares'!$A24&amp;"*",'FCC 20 Connections'!$B:$B,0),MATCH('Connections and Market Shares'!Y$7,'FCC 20 Connections'!$1:$1,0)))</f>
        <v>371470</v>
      </c>
      <c r="Z24" s="24"/>
      <c r="AA24" s="24"/>
      <c r="AB24" s="29">
        <f>IF(OR(INDEX('FCC 20 Connections'!$1:$1048576,MATCH("*"&amp;'Connections and Market Shares'!$A24&amp;"*",'FCC 20 Connections'!$B:$B,0),MATCH('Connections and Market Shares'!AB$7,'FCC 20 Connections'!$1:$1,0))="*",INDEX('FCC 20 Connections'!$1:$1048576,MATCH("*"&amp;'Connections and Market Shares'!$A24&amp;"*",'FCC 20 Connections'!$B:$B,0),MATCH('Connections and Market Shares'!AB$7,'FCC 20 Connections'!$1:$1,0))="NA"),"",INDEX('FCC 20 Connections'!$1:$1048576,MATCH("*"&amp;'Connections and Market Shares'!$A24&amp;"*",'FCC 20 Connections'!$B:$B,0),MATCH('Connections and Market Shares'!AB$7,'FCC 20 Connections'!$1:$1,0)))</f>
        <v>396645</v>
      </c>
      <c r="AC24" s="24"/>
      <c r="AD24" s="24"/>
      <c r="AE24" s="29">
        <f>IF(OR(INDEX('FCC 20 Connections'!$1:$1048576,MATCH("*"&amp;'Connections and Market Shares'!$A24&amp;"*",'FCC 20 Connections'!$B:$B,0),MATCH('Connections and Market Shares'!AE$7,'FCC 20 Connections'!$1:$1,0))="*",INDEX('FCC 20 Connections'!$1:$1048576,MATCH("*"&amp;'Connections and Market Shares'!$A24&amp;"*",'FCC 20 Connections'!$B:$B,0),MATCH('Connections and Market Shares'!AE$7,'FCC 20 Connections'!$1:$1,0))="NA"),"",INDEX('FCC 20 Connections'!$1:$1048576,MATCH("*"&amp;'Connections and Market Shares'!$A24&amp;"*",'FCC 20 Connections'!$B:$B,0),MATCH('Connections and Market Shares'!AE$7,'FCC 20 Connections'!$1:$1,0)))</f>
        <v>416783</v>
      </c>
      <c r="AF24" s="73"/>
    </row>
    <row r="25" spans="1:41" ht="6" customHeight="1" thickBot="1" x14ac:dyDescent="0.4">
      <c r="E25" s="25"/>
      <c r="F25" s="25"/>
      <c r="G25" s="4"/>
      <c r="H25" s="4"/>
      <c r="I25" s="25"/>
      <c r="J25" s="4"/>
      <c r="K25" s="4"/>
      <c r="L25" s="25"/>
      <c r="M25" s="4"/>
      <c r="N25" s="4"/>
      <c r="O25" s="25"/>
      <c r="P25" s="4"/>
      <c r="Q25" s="4"/>
      <c r="R25" s="25"/>
      <c r="S25" s="4"/>
      <c r="T25" s="4"/>
      <c r="U25" s="25"/>
      <c r="V25" s="4"/>
      <c r="W25" s="4"/>
      <c r="X25" s="25"/>
      <c r="Y25" s="4"/>
      <c r="Z25" s="4"/>
      <c r="AA25" s="25"/>
      <c r="AB25" s="4"/>
      <c r="AC25" s="4"/>
      <c r="AD25" s="25"/>
      <c r="AE25" s="4"/>
      <c r="AF25" s="4"/>
    </row>
    <row r="26" spans="1:41" ht="6" customHeight="1" thickTop="1" x14ac:dyDescent="0.35">
      <c r="E26" s="24"/>
      <c r="F26" s="24"/>
      <c r="I26" s="24"/>
      <c r="L26" s="24"/>
      <c r="O26" s="24"/>
      <c r="R26" s="24"/>
      <c r="U26" s="24"/>
      <c r="X26" s="24"/>
      <c r="AA26" s="24"/>
      <c r="AD26" s="24"/>
    </row>
    <row r="27" spans="1:41" ht="76.5" customHeight="1" x14ac:dyDescent="0.35">
      <c r="E27" s="148" t="s">
        <v>95</v>
      </c>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K27" s="24"/>
      <c r="AL27" s="24"/>
      <c r="AM27" s="24"/>
      <c r="AN27" s="24"/>
      <c r="AO27" s="24"/>
    </row>
    <row r="28" spans="1:41" x14ac:dyDescent="0.35">
      <c r="E28" s="65" t="s">
        <v>15</v>
      </c>
      <c r="F28" s="26"/>
      <c r="I28" s="26"/>
      <c r="L28" s="26"/>
      <c r="O28" s="26"/>
      <c r="R28" s="26"/>
      <c r="U28" s="26"/>
      <c r="X28" s="26"/>
      <c r="AA28" s="26"/>
      <c r="AD28" s="26"/>
      <c r="AJ28" s="24"/>
      <c r="AK28" s="24"/>
      <c r="AL28" s="24"/>
      <c r="AM28" s="24"/>
    </row>
    <row r="29" spans="1:41" x14ac:dyDescent="0.35">
      <c r="E29" s="65" t="s">
        <v>60</v>
      </c>
      <c r="F29" s="26"/>
      <c r="I29" s="26"/>
      <c r="L29" s="26"/>
      <c r="O29" s="26"/>
      <c r="R29" s="26"/>
      <c r="U29" s="26"/>
      <c r="X29" s="26"/>
      <c r="AA29" s="26"/>
      <c r="AD29" s="26"/>
      <c r="AJ29" s="24"/>
      <c r="AK29" s="24"/>
      <c r="AL29" s="24"/>
      <c r="AM29" s="24"/>
    </row>
    <row r="30" spans="1:41" x14ac:dyDescent="0.35">
      <c r="E30" s="34" t="s">
        <v>96</v>
      </c>
    </row>
    <row r="31" spans="1:41" x14ac:dyDescent="0.35">
      <c r="E31" s="34" t="s">
        <v>107</v>
      </c>
    </row>
    <row r="32" spans="1:41" x14ac:dyDescent="0.35">
      <c r="E32" s="34" t="s">
        <v>108</v>
      </c>
    </row>
    <row r="33" spans="5:35" ht="30" customHeight="1" x14ac:dyDescent="0.25">
      <c r="E33" s="147" t="s">
        <v>97</v>
      </c>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row>
    <row r="34" spans="5:35" ht="29.25" customHeight="1" x14ac:dyDescent="0.35">
      <c r="E34" s="149" t="s">
        <v>98</v>
      </c>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row>
    <row r="35" spans="5:35" ht="31.5" customHeight="1" x14ac:dyDescent="0.35">
      <c r="E35" s="147" t="s">
        <v>99</v>
      </c>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row>
    <row r="36" spans="5:35" x14ac:dyDescent="0.35">
      <c r="E36" s="34" t="s">
        <v>100</v>
      </c>
    </row>
    <row r="37" spans="5:35" x14ac:dyDescent="0.35">
      <c r="E37" s="34"/>
    </row>
    <row r="38" spans="5:35" x14ac:dyDescent="0.35">
      <c r="E38" s="74"/>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34"/>
    </row>
    <row r="39" spans="5:35" x14ac:dyDescent="0.35">
      <c r="E39" s="34"/>
      <c r="F39" s="34"/>
      <c r="G39" s="75"/>
      <c r="H39" s="75"/>
      <c r="I39" s="34"/>
      <c r="J39" s="75"/>
      <c r="K39" s="75"/>
      <c r="L39" s="34"/>
      <c r="M39" s="75"/>
      <c r="N39" s="75"/>
      <c r="O39" s="34"/>
      <c r="P39" s="75"/>
      <c r="Q39" s="75"/>
      <c r="R39" s="34"/>
      <c r="S39" s="75"/>
      <c r="T39" s="75"/>
      <c r="U39" s="34"/>
      <c r="V39" s="75"/>
      <c r="W39" s="75"/>
      <c r="X39" s="34"/>
      <c r="Y39" s="75"/>
      <c r="Z39" s="75"/>
      <c r="AA39" s="34"/>
      <c r="AB39" s="75"/>
      <c r="AC39" s="75"/>
      <c r="AD39" s="34"/>
      <c r="AE39" s="75"/>
      <c r="AF39" s="75"/>
      <c r="AG39" s="34"/>
    </row>
    <row r="40" spans="5:35" x14ac:dyDescent="0.35">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row>
    <row r="41" spans="5:35" x14ac:dyDescent="0.35">
      <c r="E41" s="34"/>
      <c r="F41" s="34"/>
      <c r="G41" s="34"/>
      <c r="H41" s="34"/>
      <c r="I41" s="34"/>
      <c r="J41" s="34"/>
      <c r="K41" s="34"/>
      <c r="L41" s="34"/>
      <c r="M41" s="76"/>
      <c r="N41" s="34"/>
      <c r="O41" s="34"/>
      <c r="P41" s="34"/>
      <c r="Q41" s="34"/>
      <c r="R41" s="34"/>
      <c r="S41" s="34"/>
      <c r="T41" s="34"/>
      <c r="U41" s="34"/>
      <c r="V41" s="34"/>
      <c r="W41" s="34"/>
      <c r="X41" s="34"/>
      <c r="Y41" s="34"/>
      <c r="Z41" s="34"/>
      <c r="AA41" s="34"/>
      <c r="AB41" s="34"/>
      <c r="AC41" s="34"/>
      <c r="AD41" s="34"/>
      <c r="AE41" s="34"/>
      <c r="AF41" s="34"/>
      <c r="AG41" s="34"/>
    </row>
    <row r="42" spans="5:35" x14ac:dyDescent="0.35">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row>
    <row r="43" spans="5:35" x14ac:dyDescent="0.35">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row>
    <row r="44" spans="5:35" x14ac:dyDescent="0.35">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row>
    <row r="45" spans="5:35" x14ac:dyDescent="0.35">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row>
    <row r="46" spans="5:35" x14ac:dyDescent="0.35">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row>
    <row r="47" spans="5:35" x14ac:dyDescent="0.35">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row>
    <row r="48" spans="5:35" x14ac:dyDescent="0.35">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row>
    <row r="49" spans="5:35" x14ac:dyDescent="0.35">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spans="5:35" x14ac:dyDescent="0.35">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spans="5:35" x14ac:dyDescent="0.35">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spans="5:35" x14ac:dyDescent="0.35">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row>
    <row r="53" spans="5:35" x14ac:dyDescent="0.35">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row>
    <row r="54" spans="5:35" x14ac:dyDescent="0.35">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row>
    <row r="55" spans="5:35" x14ac:dyDescent="0.35">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row>
    <row r="56" spans="5:35" x14ac:dyDescent="0.35">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spans="5:35" x14ac:dyDescent="0.35">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spans="5:35" x14ac:dyDescent="0.35">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row>
    <row r="59" spans="5:35" x14ac:dyDescent="0.35">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row>
    <row r="60" spans="5:35" x14ac:dyDescent="0.35">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row>
    <row r="61" spans="5:35" x14ac:dyDescent="0.35">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row>
    <row r="62" spans="5:35" x14ac:dyDescent="0.35">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row>
    <row r="63" spans="5:35" x14ac:dyDescent="0.35">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row>
    <row r="64" spans="5:35" x14ac:dyDescent="0.35">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row>
    <row r="65" spans="5:35" x14ac:dyDescent="0.35">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row>
    <row r="66" spans="5:35" x14ac:dyDescent="0.35">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row>
    <row r="67" spans="5:35" x14ac:dyDescent="0.35">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row>
    <row r="68" spans="5:35" x14ac:dyDescent="0.35">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row>
    <row r="69" spans="5:35" x14ac:dyDescent="0.35">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row>
    <row r="70" spans="5:35" x14ac:dyDescent="0.35">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row>
    <row r="71" spans="5:35" x14ac:dyDescent="0.35">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row>
    <row r="72" spans="5:35" x14ac:dyDescent="0.35">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row>
    <row r="73" spans="5:35" x14ac:dyDescent="0.35">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row>
    <row r="74" spans="5:35" x14ac:dyDescent="0.35">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row>
    <row r="75" spans="5:35" x14ac:dyDescent="0.35">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row>
    <row r="76" spans="5:35" x14ac:dyDescent="0.35">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row>
    <row r="77" spans="5:35" x14ac:dyDescent="0.35">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row>
    <row r="78" spans="5:35" x14ac:dyDescent="0.35">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row>
    <row r="79" spans="5:35" x14ac:dyDescent="0.35">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row>
    <row r="80" spans="5:35" x14ac:dyDescent="0.35">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row>
    <row r="81" spans="5:33" x14ac:dyDescent="0.35">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row>
    <row r="82" spans="5:33" x14ac:dyDescent="0.35">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row>
    <row r="83" spans="5:33" x14ac:dyDescent="0.35">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row>
    <row r="84" spans="5:33" x14ac:dyDescent="0.35">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row>
    <row r="85" spans="5:33" x14ac:dyDescent="0.35">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row>
    <row r="86" spans="5:33" x14ac:dyDescent="0.35">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row>
    <row r="87" spans="5:33" x14ac:dyDescent="0.35">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row>
    <row r="88" spans="5:33" x14ac:dyDescent="0.35">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row>
    <row r="89" spans="5:33" x14ac:dyDescent="0.35">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row>
    <row r="90" spans="5:33" x14ac:dyDescent="0.35">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row>
    <row r="91" spans="5:33" x14ac:dyDescent="0.35">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row>
    <row r="92" spans="5:33" x14ac:dyDescent="0.35">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row>
    <row r="93" spans="5:33" x14ac:dyDescent="0.35">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row>
    <row r="94" spans="5:33" x14ac:dyDescent="0.35">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row>
    <row r="95" spans="5:33" x14ac:dyDescent="0.35">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row>
    <row r="96" spans="5:33" x14ac:dyDescent="0.35">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row>
    <row r="97" spans="5:33" x14ac:dyDescent="0.35">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row>
    <row r="98" spans="5:33" x14ac:dyDescent="0.35">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row>
    <row r="99" spans="5:33" x14ac:dyDescent="0.35">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row>
    <row r="100" spans="5:33" x14ac:dyDescent="0.35">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row>
    <row r="101" spans="5:33" x14ac:dyDescent="0.35">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row>
    <row r="102" spans="5:33" x14ac:dyDescent="0.35">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row>
    <row r="103" spans="5:33" x14ac:dyDescent="0.35">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row>
    <row r="104" spans="5:33" x14ac:dyDescent="0.35">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row>
    <row r="105" spans="5:33" x14ac:dyDescent="0.35">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row>
    <row r="106" spans="5:33" x14ac:dyDescent="0.35">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row>
    <row r="107" spans="5:33" x14ac:dyDescent="0.35">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row>
    <row r="108" spans="5:33" x14ac:dyDescent="0.35">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row>
    <row r="109" spans="5:33" x14ac:dyDescent="0.35">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row>
    <row r="110" spans="5:33" x14ac:dyDescent="0.35">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row>
    <row r="111" spans="5:33" x14ac:dyDescent="0.35">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row>
    <row r="112" spans="5:33" x14ac:dyDescent="0.35">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row>
    <row r="113" spans="5:33" x14ac:dyDescent="0.35">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row>
    <row r="114" spans="5:33" x14ac:dyDescent="0.35">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row>
    <row r="115" spans="5:33" x14ac:dyDescent="0.35">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row>
    <row r="116" spans="5:33" x14ac:dyDescent="0.35">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row>
    <row r="117" spans="5:33" x14ac:dyDescent="0.35">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row>
    <row r="118" spans="5:33" x14ac:dyDescent="0.35">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row>
    <row r="119" spans="5:33" x14ac:dyDescent="0.35">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row>
    <row r="120" spans="5:33" x14ac:dyDescent="0.35">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row>
    <row r="121" spans="5:33" x14ac:dyDescent="0.35">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row>
    <row r="122" spans="5:33" x14ac:dyDescent="0.35">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row>
    <row r="123" spans="5:33" x14ac:dyDescent="0.35">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row>
    <row r="124" spans="5:33" x14ac:dyDescent="0.35">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row>
    <row r="125" spans="5:33" x14ac:dyDescent="0.35">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row>
    <row r="126" spans="5:33" x14ac:dyDescent="0.35">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row>
    <row r="127" spans="5:33" x14ac:dyDescent="0.35">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row>
    <row r="128" spans="5:33" x14ac:dyDescent="0.35">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row>
    <row r="129" spans="5:33" x14ac:dyDescent="0.35">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row>
    <row r="130" spans="5:33" x14ac:dyDescent="0.35">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row>
    <row r="131" spans="5:33" x14ac:dyDescent="0.35">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row>
    <row r="132" spans="5:33" x14ac:dyDescent="0.35">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row>
    <row r="133" spans="5:33" x14ac:dyDescent="0.35">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row>
    <row r="134" spans="5:33" x14ac:dyDescent="0.35">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row>
    <row r="135" spans="5:33" x14ac:dyDescent="0.35">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row>
    <row r="136" spans="5:33" x14ac:dyDescent="0.35">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row>
    <row r="137" spans="5:33" x14ac:dyDescent="0.35">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row>
    <row r="138" spans="5:33" x14ac:dyDescent="0.35">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row>
  </sheetData>
  <mergeCells count="4">
    <mergeCell ref="E27:AF27"/>
    <mergeCell ref="E33:AF33"/>
    <mergeCell ref="E34:AF34"/>
    <mergeCell ref="E35:AF35"/>
  </mergeCells>
  <printOptions horizontalCentered="1"/>
  <pageMargins left="0.7" right="0.7" top="0.75" bottom="0.75" header="0.3" footer="0.3"/>
  <pageSetup paperSize="5" scale="57" orientation="landscape" r:id="rId1"/>
  <ignoredErrors>
    <ignoredError sqref="H19 K19 Q1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0"/>
  <sheetViews>
    <sheetView topLeftCell="A2" zoomScaleNormal="100" zoomScaleSheetLayoutView="110" workbookViewId="0">
      <selection activeCell="F9" sqref="F9"/>
    </sheetView>
  </sheetViews>
  <sheetFormatPr defaultRowHeight="14.5" outlineLevelRow="1" outlineLevelCol="2" x14ac:dyDescent="0.35"/>
  <cols>
    <col min="1" max="1" width="9.1796875" style="18" customWidth="1" outlineLevel="1"/>
    <col min="2" max="2" width="8.7265625" style="18" customWidth="1" outlineLevel="2"/>
    <col min="3" max="3" width="6.26953125" customWidth="1"/>
    <col min="4" max="4" width="18.54296875" customWidth="1"/>
    <col min="5" max="5" width="3.7265625" customWidth="1"/>
    <col min="6" max="9" width="7.26953125" customWidth="1"/>
    <col min="10" max="10" width="16" customWidth="1"/>
    <col min="11" max="11" width="15.26953125" customWidth="1"/>
    <col min="12" max="12" width="17.54296875" customWidth="1"/>
  </cols>
  <sheetData>
    <row r="1" spans="1:15" s="18" customFormat="1" ht="15" hidden="1" outlineLevel="1" x14ac:dyDescent="0.25">
      <c r="D1" s="18">
        <v>65</v>
      </c>
      <c r="F1" s="18">
        <f>MAX($D$1:E1)+1</f>
        <v>66</v>
      </c>
      <c r="G1" s="18">
        <f>MAX($D$1:F1)+1</f>
        <v>67</v>
      </c>
      <c r="H1" s="18">
        <f>MAX($D$1:G1)+1</f>
        <v>68</v>
      </c>
      <c r="I1" s="18">
        <f>MAX($D$1:H1)+1</f>
        <v>69</v>
      </c>
      <c r="J1" s="18">
        <f>MAX($D$1:I1)+1</f>
        <v>70</v>
      </c>
      <c r="K1" s="18">
        <f>MAX($D$1:J1)+1</f>
        <v>71</v>
      </c>
      <c r="L1" s="18">
        <f>MAX($D$1:K1)+1</f>
        <v>72</v>
      </c>
    </row>
    <row r="2" spans="1:15" s="34" customFormat="1" ht="15" collapsed="1" x14ac:dyDescent="0.25">
      <c r="A2" s="18"/>
      <c r="B2" s="18"/>
    </row>
    <row r="3" spans="1:15" ht="18.399999999999999" x14ac:dyDescent="0.45">
      <c r="D3" s="15" t="s">
        <v>38</v>
      </c>
      <c r="E3" s="15"/>
      <c r="F3" s="15"/>
      <c r="G3" s="15"/>
      <c r="H3" s="15"/>
      <c r="I3" s="15"/>
      <c r="J3" s="15"/>
      <c r="K3" s="15"/>
      <c r="L3" s="15"/>
      <c r="M3" s="48"/>
      <c r="N3" s="48"/>
      <c r="O3" s="34"/>
    </row>
    <row r="4" spans="1:15" ht="6" customHeight="1" thickBot="1" x14ac:dyDescent="0.4">
      <c r="D4" s="4"/>
      <c r="E4" s="4"/>
      <c r="F4" s="4"/>
      <c r="G4" s="4"/>
      <c r="H4" s="4"/>
      <c r="I4" s="4"/>
      <c r="J4" s="4"/>
      <c r="K4" s="4"/>
      <c r="L4" s="35"/>
      <c r="M4" s="36"/>
      <c r="N4" s="36"/>
      <c r="O4" s="34"/>
    </row>
    <row r="5" spans="1:15" ht="6" customHeight="1" thickTop="1" x14ac:dyDescent="0.35">
      <c r="L5" s="34"/>
      <c r="M5" s="34"/>
      <c r="N5" s="34"/>
      <c r="O5" s="34"/>
    </row>
    <row r="6" spans="1:15" ht="45" x14ac:dyDescent="0.25">
      <c r="D6" s="8" t="s">
        <v>0</v>
      </c>
      <c r="E6" s="8"/>
      <c r="F6" s="9" t="s">
        <v>28</v>
      </c>
      <c r="G6" s="9" t="s">
        <v>29</v>
      </c>
      <c r="H6" s="9" t="s">
        <v>30</v>
      </c>
      <c r="I6" s="9" t="s">
        <v>31</v>
      </c>
      <c r="J6" s="37" t="s">
        <v>32</v>
      </c>
      <c r="K6" s="37" t="s">
        <v>33</v>
      </c>
      <c r="L6" s="37" t="s">
        <v>36</v>
      </c>
      <c r="M6" s="34"/>
      <c r="N6" s="34"/>
      <c r="O6" s="34"/>
    </row>
    <row r="7" spans="1:15" ht="14.65" x14ac:dyDescent="0.35">
      <c r="D7" s="31" t="str">
        <f>"["&amp;CHAR(D1)&amp;"]"</f>
        <v>[A]</v>
      </c>
      <c r="E7" s="31"/>
      <c r="F7" s="32" t="str">
        <f>"["&amp;CHAR(F1)&amp;"]"</f>
        <v>[B]</v>
      </c>
      <c r="G7" s="32" t="str">
        <f t="shared" ref="G7:I7" si="0">"["&amp;CHAR(G1)&amp;"]"</f>
        <v>[C]</v>
      </c>
      <c r="H7" s="32" t="str">
        <f t="shared" si="0"/>
        <v>[D]</v>
      </c>
      <c r="I7" s="32" t="str">
        <f t="shared" si="0"/>
        <v>[E]</v>
      </c>
      <c r="J7" s="32" t="str">
        <f>"["&amp;CHAR(J1)&amp;"]"</f>
        <v>[F]</v>
      </c>
      <c r="K7" s="32" t="str">
        <f>"["&amp;CHAR(K1)&amp;"]"</f>
        <v>[G]</v>
      </c>
      <c r="L7" s="32" t="str">
        <f>"["&amp;CHAR(L1)&amp;"]"</f>
        <v>[H]</v>
      </c>
      <c r="M7" s="34"/>
      <c r="N7" s="34"/>
      <c r="O7" s="34"/>
    </row>
    <row r="8" spans="1:15" ht="6" customHeight="1" x14ac:dyDescent="0.35">
      <c r="J8" s="33"/>
      <c r="K8" s="33"/>
      <c r="L8" s="34"/>
      <c r="M8" s="34"/>
      <c r="N8" s="34"/>
      <c r="O8" s="34"/>
    </row>
    <row r="9" spans="1:15" ht="14.65" x14ac:dyDescent="0.35">
      <c r="A9" s="18" t="str">
        <f>D9&amp;"Churn"</f>
        <v>AT&amp;TChurn</v>
      </c>
      <c r="B9" s="18">
        <v>1</v>
      </c>
      <c r="D9" t="s">
        <v>1</v>
      </c>
      <c r="E9" s="23" t="str">
        <f>"["&amp;B9&amp;"]"</f>
        <v>[1]</v>
      </c>
      <c r="F9" s="47">
        <f>INDEX('UBS 411 Figure 35'!$1:$1048576,MATCH(Churn!$A9,'UBS 411 Figure 35'!$A:$A,0),MATCH(Churn!F$6,'UBS 411 Figure 35'!$5:$5,0))</f>
        <v>1.4200000000000001E-2</v>
      </c>
      <c r="G9" s="47">
        <f>INDEX('UBS 411 Figure 35'!$1:$1048576,MATCH(Churn!$A9,'UBS 411 Figure 35'!$A:$A,0),MATCH(Churn!G$6,'UBS 411 Figure 35'!$5:$5,0))</f>
        <v>1.35E-2</v>
      </c>
      <c r="H9" s="47">
        <f>INDEX('UBS 411 Figure 35'!$1:$1048576,MATCH(Churn!$A9,'UBS 411 Figure 35'!$A:$A,0),MATCH(Churn!H$6,'UBS 411 Figure 35'!$5:$5,0))</f>
        <v>1.4500000000000001E-2</v>
      </c>
      <c r="I9" s="47">
        <f>INDEX('UBS 411 Figure 35'!$1:$1048576,MATCH(Churn!$A9,'UBS 411 Figure 35'!$A:$A,0),MATCH(Churn!I$6,'UBS 411 Figure 35'!$5:$5,0))</f>
        <v>1.7100000000000001E-2</v>
      </c>
      <c r="J9" s="27">
        <f>GEOMEAN(F9:I9)</f>
        <v>1.4765445548729859E-2</v>
      </c>
      <c r="K9" s="39">
        <f>1-(1-J9)^12</f>
        <v>0.16348136188530782</v>
      </c>
      <c r="L9" s="40">
        <f>1/K9</f>
        <v>6.1169052451469126</v>
      </c>
    </row>
    <row r="10" spans="1:15" ht="14.65" x14ac:dyDescent="0.35">
      <c r="A10" s="18" t="str">
        <f t="shared" ref="A10:A12" si="1">D10&amp;"Churn"</f>
        <v>VerizonChurn</v>
      </c>
      <c r="B10" s="18">
        <f>MAX($B$9:B9)+1</f>
        <v>2</v>
      </c>
      <c r="D10" t="s">
        <v>92</v>
      </c>
      <c r="E10" s="23" t="str">
        <f>"["&amp;B10&amp;"]"</f>
        <v>[2]</v>
      </c>
      <c r="F10" s="47">
        <f>INDEX('UBS 411 Figure 35'!$1:$1048576,MATCH(Churn!$A10,'UBS 411 Figure 35'!$A:$A,0),MATCH(Churn!F$6,'UBS 411 Figure 35'!$5:$5,0))</f>
        <v>1.2E-2</v>
      </c>
      <c r="G10" s="47">
        <f>INDEX('UBS 411 Figure 35'!$1:$1048576,MATCH(Churn!$A10,'UBS 411 Figure 35'!$A:$A,0),MATCH(Churn!G$6,'UBS 411 Figure 35'!$5:$5,0))</f>
        <v>1.1599999999999999E-2</v>
      </c>
      <c r="H10" s="47">
        <f>INDEX('UBS 411 Figure 35'!$1:$1048576,MATCH(Churn!$A10,'UBS 411 Figure 35'!$A:$A,0),MATCH(Churn!H$6,'UBS 411 Figure 35'!$5:$5,0))</f>
        <v>1.2500000000000001E-2</v>
      </c>
      <c r="I10" s="47">
        <f>INDEX('UBS 411 Figure 35'!$1:$1048576,MATCH(Churn!$A10,'UBS 411 Figure 35'!$A:$A,0),MATCH(Churn!I$6,'UBS 411 Figure 35'!$5:$5,0))</f>
        <v>1.3100000000000001E-2</v>
      </c>
      <c r="J10" s="27">
        <f t="shared" ref="J10:J12" si="2">GEOMEAN(F10:I10)</f>
        <v>1.228726248652574E-2</v>
      </c>
      <c r="K10" s="39">
        <f>1-(1-J10)^12</f>
        <v>0.13787973559865085</v>
      </c>
      <c r="L10" s="40">
        <f t="shared" ref="L10:L12" si="3">1/K10</f>
        <v>7.2526974008048866</v>
      </c>
    </row>
    <row r="11" spans="1:15" ht="14.65" x14ac:dyDescent="0.35">
      <c r="A11" s="18" t="str">
        <f t="shared" si="1"/>
        <v>SprintChurn</v>
      </c>
      <c r="B11" s="18">
        <f>MAX($B$9:B10)+1</f>
        <v>3</v>
      </c>
      <c r="D11" t="s">
        <v>2</v>
      </c>
      <c r="E11" s="23" t="str">
        <f>"["&amp;B11&amp;"]"</f>
        <v>[3]</v>
      </c>
      <c r="F11" s="47">
        <f>INDEX('UBS 411 Figure 35'!$1:$1048576,MATCH(Churn!$A11,'UBS 411 Figure 35'!$A:$A,0),MATCH(Churn!F$6,'UBS 411 Figure 35'!$5:$5,0))</f>
        <v>2.3E-2</v>
      </c>
      <c r="G11" s="47">
        <f>INDEX('UBS 411 Figure 35'!$1:$1048576,MATCH(Churn!$A11,'UBS 411 Figure 35'!$A:$A,0),MATCH(Churn!G$6,'UBS 411 Figure 35'!$5:$5,0))</f>
        <v>2.1399999999999999E-2</v>
      </c>
      <c r="H11" s="47">
        <f>INDEX('UBS 411 Figure 35'!$1:$1048576,MATCH(Churn!$A11,'UBS 411 Figure 35'!$A:$A,0),MATCH(Churn!H$6,'UBS 411 Figure 35'!$5:$5,0))</f>
        <v>2.0799999999999999E-2</v>
      </c>
      <c r="I11" s="47">
        <f>INDEX('UBS 411 Figure 35'!$1:$1048576,MATCH(Churn!$A11,'UBS 411 Figure 35'!$A:$A,0),MATCH(Churn!I$6,'UBS 411 Figure 35'!$5:$5,0))</f>
        <v>2.1899999999999999E-2</v>
      </c>
      <c r="J11" s="27">
        <f t="shared" si="2"/>
        <v>2.1760169040690877E-2</v>
      </c>
      <c r="K11" s="39">
        <f>1-(1-J11)^12</f>
        <v>0.23203026715276276</v>
      </c>
      <c r="L11" s="40">
        <f t="shared" si="3"/>
        <v>4.3097825653134541</v>
      </c>
    </row>
    <row r="12" spans="1:15" ht="14.65" x14ac:dyDescent="0.35">
      <c r="A12" s="18" t="str">
        <f t="shared" si="1"/>
        <v>T-MobileChurn</v>
      </c>
      <c r="B12" s="18">
        <f>MAX($B$9:B11)+1</f>
        <v>4</v>
      </c>
      <c r="D12" t="s">
        <v>3</v>
      </c>
      <c r="E12" s="23" t="str">
        <f>"["&amp;B12&amp;"]"</f>
        <v>[4]</v>
      </c>
      <c r="F12" s="47">
        <f>INDEX('UBS 411 Figure 35'!$1:$1048576,MATCH(Churn!$A12,'UBS 411 Figure 35'!$A:$A,0),MATCH(Churn!F$6,'UBS 411 Figure 35'!$5:$5,0))</f>
        <v>1.7399999999999999E-2</v>
      </c>
      <c r="G12" s="47">
        <f>INDEX('UBS 411 Figure 35'!$1:$1048576,MATCH(Churn!$A12,'UBS 411 Figure 35'!$A:$A,0),MATCH(Churn!G$6,'UBS 411 Figure 35'!$5:$5,0))</f>
        <v>1.7299999999999999E-2</v>
      </c>
      <c r="H12" s="47">
        <f>INDEX('UBS 411 Figure 35'!$1:$1048576,MATCH(Churn!$A12,'UBS 411 Figure 35'!$A:$A,0),MATCH(Churn!H$6,'UBS 411 Figure 35'!$5:$5,0))</f>
        <v>1.7100000000000001E-2</v>
      </c>
      <c r="I12" s="47">
        <f>INDEX('UBS 411 Figure 35'!$1:$1048576,MATCH(Churn!$A12,'UBS 411 Figure 35'!$A:$A,0),MATCH(Churn!I$6,'UBS 411 Figure 35'!$5:$5,0))</f>
        <v>1.7100000000000001E-2</v>
      </c>
      <c r="J12" s="27">
        <f t="shared" si="2"/>
        <v>1.7224510675458084E-2</v>
      </c>
      <c r="K12" s="39">
        <f>1-(1-J12)^12</f>
        <v>0.18819485708670403</v>
      </c>
      <c r="L12" s="40">
        <f t="shared" si="3"/>
        <v>5.3136414856399918</v>
      </c>
    </row>
    <row r="13" spans="1:15" ht="6" customHeight="1" thickBot="1" x14ac:dyDescent="0.4">
      <c r="D13" s="4"/>
      <c r="E13" s="4"/>
      <c r="F13" s="4"/>
      <c r="G13" s="4"/>
      <c r="H13" s="4"/>
      <c r="I13" s="4"/>
      <c r="J13" s="4"/>
      <c r="K13" s="4"/>
      <c r="L13" s="4"/>
    </row>
    <row r="14" spans="1:15" ht="6" customHeight="1" thickTop="1" x14ac:dyDescent="0.35"/>
    <row r="15" spans="1:15" ht="29.25" customHeight="1" x14ac:dyDescent="0.25">
      <c r="D15" s="146" t="s">
        <v>101</v>
      </c>
      <c r="E15" s="146"/>
      <c r="F15" s="146"/>
      <c r="G15" s="146"/>
      <c r="H15" s="146"/>
      <c r="I15" s="146"/>
      <c r="J15" s="146"/>
      <c r="K15" s="146"/>
      <c r="L15" s="146"/>
    </row>
    <row r="16" spans="1:15" ht="14.65" x14ac:dyDescent="0.35">
      <c r="D16" t="s">
        <v>15</v>
      </c>
    </row>
    <row r="17" spans="4:12" ht="16.5" customHeight="1" x14ac:dyDescent="0.35">
      <c r="D17" s="146" t="str">
        <f>F7&amp;" -  "&amp;I7&amp;": Monthly churn rates as reported on a quarterly basis as the average monthly churn in a given quarter."</f>
        <v>[B] -  [E]: Monthly churn rates as reported on a quarterly basis as the average monthly churn in a given quarter.</v>
      </c>
      <c r="E17" s="146"/>
      <c r="F17" s="146"/>
      <c r="G17" s="146"/>
      <c r="H17" s="146"/>
      <c r="I17" s="146"/>
      <c r="J17" s="146"/>
      <c r="K17" s="146"/>
      <c r="L17" s="146"/>
    </row>
    <row r="18" spans="4:12" ht="14.65" x14ac:dyDescent="0.35">
      <c r="D18" t="str">
        <f>J7&amp;": The geometric mean of the 2016 monthly churn rates."</f>
        <v>[F]: The geometric mean of the 2016 monthly churn rates.</v>
      </c>
    </row>
    <row r="19" spans="4:12" ht="14.65" x14ac:dyDescent="0.35">
      <c r="D19" t="str">
        <f>K7&amp;": 1 - (1 - "&amp;J7&amp;")^12."</f>
        <v>[G]: 1 - (1 - [F])^12.</v>
      </c>
    </row>
    <row r="20" spans="4:12" ht="14.65" x14ac:dyDescent="0.35">
      <c r="D20" t="str">
        <f>L7&amp;": 1 / "&amp;K7&amp;"."</f>
        <v>[H]: 1 / [G].</v>
      </c>
    </row>
  </sheetData>
  <mergeCells count="2">
    <mergeCell ref="D17:L17"/>
    <mergeCell ref="D15:L15"/>
  </mergeCells>
  <printOptions horizontalCentered="1"/>
  <pageMargins left="0.7" right="0.7" top="0.75" bottom="0.75" header="0.3" footer="0.3"/>
  <pageSetup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zoomScaleNormal="100" zoomScaleSheetLayoutView="100" workbookViewId="0">
      <selection activeCell="Q9" sqref="Q9"/>
    </sheetView>
  </sheetViews>
  <sheetFormatPr defaultRowHeight="14.5" outlineLevelRow="1" outlineLevelCol="1" x14ac:dyDescent="0.35"/>
  <cols>
    <col min="1" max="1" width="9.1796875" style="18" customWidth="1" outlineLevel="1"/>
    <col min="2" max="2" width="9.26953125"/>
    <col min="3" max="3" width="16.453125" customWidth="1"/>
    <col min="4" max="4" width="4.26953125" customWidth="1"/>
    <col min="5" max="5" width="2.1796875" customWidth="1"/>
    <col min="6" max="10" width="8.1796875" customWidth="1"/>
    <col min="11" max="15" width="9.1796875" customWidth="1"/>
    <col min="16" max="16" width="19.453125" customWidth="1"/>
    <col min="17" max="17" width="20.7265625" customWidth="1"/>
  </cols>
  <sheetData>
    <row r="1" spans="1:17" s="18" customFormat="1" ht="15" outlineLevel="1" x14ac:dyDescent="0.25">
      <c r="C1" s="18">
        <v>65</v>
      </c>
      <c r="F1" s="18">
        <f>MAX($C$1:E1)+1</f>
        <v>66</v>
      </c>
      <c r="G1" s="18">
        <f>MAX($C$1:F1)+1</f>
        <v>67</v>
      </c>
      <c r="H1" s="18">
        <f>MAX($C$1:G1)+1</f>
        <v>68</v>
      </c>
      <c r="I1" s="18">
        <f>MAX($C$1:H1)+1</f>
        <v>69</v>
      </c>
      <c r="J1" s="18">
        <f>MAX($C$1:I1)+1</f>
        <v>70</v>
      </c>
      <c r="K1" s="18">
        <f>MAX($C$1:J1)+1</f>
        <v>71</v>
      </c>
      <c r="L1" s="18">
        <f>MAX($C$1:K1)+1</f>
        <v>72</v>
      </c>
      <c r="M1" s="18">
        <f>MAX($C$1:L1)+1</f>
        <v>73</v>
      </c>
      <c r="N1" s="18">
        <f>MAX($C$1:M1)+1</f>
        <v>74</v>
      </c>
      <c r="O1" s="18">
        <f>MAX($C$1:N1)+1</f>
        <v>75</v>
      </c>
      <c r="P1" s="18">
        <f>MAX($C$1:O1)+1</f>
        <v>76</v>
      </c>
      <c r="Q1" s="18">
        <f>MAX($C$1:P1)+1</f>
        <v>77</v>
      </c>
    </row>
    <row r="3" spans="1:17" ht="18.5" x14ac:dyDescent="0.45">
      <c r="C3" s="15" t="s">
        <v>47</v>
      </c>
      <c r="D3" s="15"/>
      <c r="E3" s="15"/>
      <c r="F3" s="15"/>
      <c r="G3" s="15"/>
      <c r="H3" s="15"/>
      <c r="I3" s="15"/>
      <c r="J3" s="15"/>
      <c r="K3" s="15"/>
      <c r="L3" s="15"/>
      <c r="M3" s="15"/>
      <c r="N3" s="15"/>
      <c r="O3" s="15"/>
      <c r="P3" s="15"/>
      <c r="Q3" s="15"/>
    </row>
    <row r="4" spans="1:17" ht="6" customHeight="1" thickBot="1" x14ac:dyDescent="0.5">
      <c r="C4" s="3"/>
      <c r="D4" s="3"/>
      <c r="E4" s="3"/>
      <c r="F4" s="3"/>
      <c r="G4" s="3"/>
      <c r="H4" s="3"/>
      <c r="I4" s="3"/>
      <c r="J4" s="3"/>
      <c r="K4" s="3"/>
      <c r="L4" s="3"/>
      <c r="M4" s="3"/>
      <c r="N4" s="3"/>
      <c r="O4" s="3"/>
      <c r="P4" s="3"/>
      <c r="Q4" s="3"/>
    </row>
    <row r="5" spans="1:17" ht="6" customHeight="1" thickTop="1" x14ac:dyDescent="0.35"/>
    <row r="6" spans="1:17" ht="45" customHeight="1" x14ac:dyDescent="0.35">
      <c r="C6" s="8" t="s">
        <v>0</v>
      </c>
      <c r="D6" s="8"/>
      <c r="E6" s="8"/>
      <c r="F6" s="8">
        <v>2007</v>
      </c>
      <c r="G6" s="8">
        <f>F6+1</f>
        <v>2008</v>
      </c>
      <c r="H6" s="8">
        <f t="shared" ref="H6:O6" si="0">G6+1</f>
        <v>2009</v>
      </c>
      <c r="I6" s="8">
        <f t="shared" si="0"/>
        <v>2010</v>
      </c>
      <c r="J6" s="8">
        <f t="shared" si="0"/>
        <v>2011</v>
      </c>
      <c r="K6" s="8">
        <f t="shared" si="0"/>
        <v>2012</v>
      </c>
      <c r="L6" s="8">
        <f t="shared" si="0"/>
        <v>2013</v>
      </c>
      <c r="M6" s="8">
        <f t="shared" si="0"/>
        <v>2014</v>
      </c>
      <c r="N6" s="8">
        <f t="shared" si="0"/>
        <v>2015</v>
      </c>
      <c r="O6" s="8">
        <f t="shared" si="0"/>
        <v>2016</v>
      </c>
      <c r="P6" s="38" t="s">
        <v>35</v>
      </c>
      <c r="Q6" s="38" t="s">
        <v>34</v>
      </c>
    </row>
    <row r="7" spans="1:17" x14ac:dyDescent="0.35">
      <c r="C7" s="8" t="str">
        <f>"["&amp;CHAR(C1)&amp;"]"</f>
        <v>[A]</v>
      </c>
      <c r="D7" s="8"/>
      <c r="E7" s="8"/>
      <c r="F7" s="9" t="str">
        <f>"["&amp;CHAR(F1)&amp;"]"</f>
        <v>[B]</v>
      </c>
      <c r="G7" s="9" t="str">
        <f t="shared" ref="G7:O7" si="1">"["&amp;CHAR(G1)&amp;"]"</f>
        <v>[C]</v>
      </c>
      <c r="H7" s="9" t="str">
        <f t="shared" si="1"/>
        <v>[D]</v>
      </c>
      <c r="I7" s="9" t="str">
        <f t="shared" si="1"/>
        <v>[E]</v>
      </c>
      <c r="J7" s="9" t="str">
        <f t="shared" si="1"/>
        <v>[F]</v>
      </c>
      <c r="K7" s="9" t="str">
        <f t="shared" si="1"/>
        <v>[G]</v>
      </c>
      <c r="L7" s="9" t="str">
        <f t="shared" si="1"/>
        <v>[H]</v>
      </c>
      <c r="M7" s="9" t="str">
        <f t="shared" si="1"/>
        <v>[I]</v>
      </c>
      <c r="N7" s="9" t="str">
        <f t="shared" si="1"/>
        <v>[J]</v>
      </c>
      <c r="O7" s="9" t="str">
        <f t="shared" si="1"/>
        <v>[K]</v>
      </c>
      <c r="P7" s="9" t="str">
        <f>"["&amp;CHAR(P1)&amp;"]"</f>
        <v>[L]</v>
      </c>
      <c r="Q7" s="9" t="str">
        <f>"["&amp;CHAR(Q1)&amp;"]"</f>
        <v>[M]</v>
      </c>
    </row>
    <row r="8" spans="1:17" ht="6" customHeight="1" x14ac:dyDescent="0.35">
      <c r="P8" s="7"/>
      <c r="Q8" s="7"/>
    </row>
    <row r="9" spans="1:17" x14ac:dyDescent="0.35">
      <c r="A9" s="18">
        <v>1</v>
      </c>
      <c r="C9" t="s">
        <v>1</v>
      </c>
      <c r="D9" s="23" t="str">
        <f>"["&amp;A9&amp;"]"</f>
        <v>[1]</v>
      </c>
      <c r="E9" s="23"/>
      <c r="F9" s="12">
        <f>INDEX('Capital Expenditures'!$1:$1048576,MATCH($C9,'Capital Expenditures'!$B:$B,0),MATCH('Cumulative Capital Expenditure'!F$6,'Capital Expenditures'!$5:$5,0))</f>
        <v>3700</v>
      </c>
      <c r="G9" s="12">
        <f>INDEX('Capital Expenditures'!$1:$1048576,MATCH($C9,'Capital Expenditures'!$B:$B,0),MATCH('Cumulative Capital Expenditure'!G$6,'Capital Expenditures'!$5:$5,0))</f>
        <v>5900</v>
      </c>
      <c r="H9" s="12">
        <f>INDEX('Capital Expenditures'!$1:$1048576,MATCH($C9,'Capital Expenditures'!$B:$B,0),MATCH('Cumulative Capital Expenditure'!H$6,'Capital Expenditures'!$5:$5,0))</f>
        <v>5900</v>
      </c>
      <c r="I9" s="12">
        <f>INDEX('Capital Expenditures'!$1:$1048576,MATCH($C9,'Capital Expenditures'!$B:$B,0),MATCH('Cumulative Capital Expenditure'!I$6,'Capital Expenditures'!$5:$5,0))</f>
        <v>9171</v>
      </c>
      <c r="J9" s="12">
        <f>INDEX('Capital Expenditures'!$1:$1048576,MATCH($C9,'Capital Expenditures'!$B:$B,0),MATCH('Cumulative Capital Expenditure'!J$6,'Capital Expenditures'!$5:$5,0))</f>
        <v>9764</v>
      </c>
      <c r="K9" s="12">
        <f>INDEX('Capital Expenditures'!$1:$1048576,MATCH($C9,'Capital Expenditures'!$B:$B,0),MATCH('Cumulative Capital Expenditure'!K$6,'Capital Expenditures'!$5:$5,0))</f>
        <v>10795</v>
      </c>
      <c r="L9" s="12">
        <f>INDEX('Capital Expenditures'!$1:$1048576,MATCH($C9,'Capital Expenditures'!$B:$B,0),MATCH('Cumulative Capital Expenditure'!L$6,'Capital Expenditures'!$5:$5,0))</f>
        <v>11191</v>
      </c>
      <c r="M9" s="12">
        <f>INDEX('Capital Expenditures'!$1:$1048576,MATCH($C9,'Capital Expenditures'!$B:$B,0),MATCH('Cumulative Capital Expenditure'!M$6,'Capital Expenditures'!$5:$5,0))</f>
        <v>11383</v>
      </c>
      <c r="N9" s="12">
        <f>INDEX('Capital Expenditures'!$1:$1048576,MATCH($C9,'Capital Expenditures'!$B:$B,0),MATCH('Cumulative Capital Expenditure'!N$6,'Capital Expenditures'!$5:$5,0))</f>
        <v>9400</v>
      </c>
      <c r="O9" s="12">
        <f>INDEX('Capital Expenditures'!$1:$1048576,MATCH($C9,'Capital Expenditures'!$B:$B,0),MATCH('Cumulative Capital Expenditure'!O$6,'Capital Expenditures'!$5:$5,0))</f>
        <v>9750</v>
      </c>
      <c r="P9" s="29">
        <f>SUM(K9:O9)</f>
        <v>52519</v>
      </c>
      <c r="Q9" s="29">
        <f>SUM(F9:O9)</f>
        <v>86954</v>
      </c>
    </row>
    <row r="10" spans="1:17" x14ac:dyDescent="0.35">
      <c r="A10" s="18">
        <f>MAX($A$9:A9)+1</f>
        <v>2</v>
      </c>
      <c r="C10" t="s">
        <v>92</v>
      </c>
      <c r="D10" s="23" t="str">
        <f>"["&amp;A10&amp;"]"</f>
        <v>[2]</v>
      </c>
      <c r="E10" s="23"/>
      <c r="F10" s="12">
        <f>INDEX('Capital Expenditures'!$1:$1048576,MATCH($C10,'Capital Expenditures'!$B:$B,0),MATCH('Cumulative Capital Expenditure'!F$6,'Capital Expenditures'!$5:$5,0))</f>
        <v>6500</v>
      </c>
      <c r="G10" s="12">
        <f>INDEX('Capital Expenditures'!$1:$1048576,MATCH($C10,'Capital Expenditures'!$B:$B,0),MATCH('Cumulative Capital Expenditure'!G$6,'Capital Expenditures'!$5:$5,0))</f>
        <v>6500</v>
      </c>
      <c r="H10" s="12">
        <f>INDEX('Capital Expenditures'!$1:$1048576,MATCH($C10,'Capital Expenditures'!$B:$B,0),MATCH('Cumulative Capital Expenditure'!H$6,'Capital Expenditures'!$5:$5,0))</f>
        <v>7100</v>
      </c>
      <c r="I10" s="12">
        <f>INDEX('Capital Expenditures'!$1:$1048576,MATCH($C10,'Capital Expenditures'!$B:$B,0),MATCH('Cumulative Capital Expenditure'!I$6,'Capital Expenditures'!$5:$5,0))</f>
        <v>8438</v>
      </c>
      <c r="J10" s="12">
        <f>INDEX('Capital Expenditures'!$1:$1048576,MATCH($C10,'Capital Expenditures'!$B:$B,0),MATCH('Cumulative Capital Expenditure'!J$6,'Capital Expenditures'!$5:$5,0))</f>
        <v>8973</v>
      </c>
      <c r="K10" s="12">
        <f>INDEX('Capital Expenditures'!$1:$1048576,MATCH($C10,'Capital Expenditures'!$B:$B,0),MATCH('Cumulative Capital Expenditure'!K$6,'Capital Expenditures'!$5:$5,0))</f>
        <v>8857</v>
      </c>
      <c r="L10" s="12">
        <f>INDEX('Capital Expenditures'!$1:$1048576,MATCH($C10,'Capital Expenditures'!$B:$B,0),MATCH('Cumulative Capital Expenditure'!L$6,'Capital Expenditures'!$5:$5,0))</f>
        <v>9425</v>
      </c>
      <c r="M10" s="12">
        <f>INDEX('Capital Expenditures'!$1:$1048576,MATCH($C10,'Capital Expenditures'!$B:$B,0),MATCH('Cumulative Capital Expenditure'!M$6,'Capital Expenditures'!$5:$5,0))</f>
        <v>10515</v>
      </c>
      <c r="N10" s="12">
        <f>INDEX('Capital Expenditures'!$1:$1048576,MATCH($C10,'Capital Expenditures'!$B:$B,0),MATCH('Cumulative Capital Expenditure'!N$6,'Capital Expenditures'!$5:$5,0))</f>
        <v>11725</v>
      </c>
      <c r="O10" s="12">
        <f>INDEX('Capital Expenditures'!$1:$1048576,MATCH($C10,'Capital Expenditures'!$B:$B,0),MATCH('Cumulative Capital Expenditure'!O$6,'Capital Expenditures'!$5:$5,0))</f>
        <v>11240</v>
      </c>
      <c r="P10" s="29">
        <f t="shared" ref="P10:P12" si="2">SUM(K10:O10)</f>
        <v>51762</v>
      </c>
      <c r="Q10" s="29">
        <f t="shared" ref="Q10:Q12" si="3">SUM(F10:O10)</f>
        <v>89273</v>
      </c>
    </row>
    <row r="11" spans="1:17" x14ac:dyDescent="0.35">
      <c r="A11" s="18">
        <f>MAX($A$9:A10)+1</f>
        <v>3</v>
      </c>
      <c r="C11" t="s">
        <v>2</v>
      </c>
      <c r="D11" s="23" t="str">
        <f>"["&amp;A11&amp;"]"</f>
        <v>[3]</v>
      </c>
      <c r="E11" s="23"/>
      <c r="F11" s="12">
        <f>INDEX('Capital Expenditures'!$1:$1048576,MATCH($C11,'Capital Expenditures'!$B:$B,0),MATCH('Cumulative Capital Expenditure'!F$6,'Capital Expenditures'!$5:$5,0))</f>
        <v>5100</v>
      </c>
      <c r="G11" s="12">
        <f>INDEX('Capital Expenditures'!$1:$1048576,MATCH($C11,'Capital Expenditures'!$B:$B,0),MATCH('Cumulative Capital Expenditure'!G$6,'Capital Expenditures'!$5:$5,0))</f>
        <v>2400</v>
      </c>
      <c r="H11" s="12">
        <f>INDEX('Capital Expenditures'!$1:$1048576,MATCH($C11,'Capital Expenditures'!$B:$B,0),MATCH('Cumulative Capital Expenditure'!H$6,'Capital Expenditures'!$5:$5,0))</f>
        <v>1100</v>
      </c>
      <c r="I11" s="12">
        <f>INDEX('Capital Expenditures'!$1:$1048576,MATCH($C11,'Capital Expenditures'!$B:$B,0),MATCH('Cumulative Capital Expenditure'!I$6,'Capital Expenditures'!$5:$5,0))</f>
        <v>1444</v>
      </c>
      <c r="J11" s="12">
        <f>INDEX('Capital Expenditures'!$1:$1048576,MATCH($C11,'Capital Expenditures'!$B:$B,0),MATCH('Cumulative Capital Expenditure'!J$6,'Capital Expenditures'!$5:$5,0))</f>
        <v>2415</v>
      </c>
      <c r="K11" s="12">
        <f>INDEX('Capital Expenditures'!$1:$1048576,MATCH($C11,'Capital Expenditures'!$B:$B,0),MATCH('Cumulative Capital Expenditure'!K$6,'Capital Expenditures'!$5:$5,0))</f>
        <v>4884</v>
      </c>
      <c r="L11" s="12">
        <f>INDEX('Capital Expenditures'!$1:$1048576,MATCH($C11,'Capital Expenditures'!$B:$B,0),MATCH('Cumulative Capital Expenditure'!L$6,'Capital Expenditures'!$5:$5,0))</f>
        <v>6833</v>
      </c>
      <c r="M11" s="12">
        <f>INDEX('Capital Expenditures'!$1:$1048576,MATCH($C11,'Capital Expenditures'!$B:$B,0),MATCH('Cumulative Capital Expenditure'!M$6,'Capital Expenditures'!$5:$5,0))</f>
        <v>4886</v>
      </c>
      <c r="N11" s="12">
        <f>INDEX('Capital Expenditures'!$1:$1048576,MATCH($C11,'Capital Expenditures'!$B:$B,0),MATCH('Cumulative Capital Expenditure'!N$6,'Capital Expenditures'!$5:$5,0))</f>
        <v>4026</v>
      </c>
      <c r="O11" s="12">
        <f>INDEX('Capital Expenditures'!$1:$1048576,MATCH($C11,'Capital Expenditures'!$B:$B,0),MATCH('Cumulative Capital Expenditure'!O$6,'Capital Expenditures'!$5:$5,0))</f>
        <v>1797</v>
      </c>
      <c r="P11" s="29">
        <f t="shared" si="2"/>
        <v>22426</v>
      </c>
      <c r="Q11" s="29">
        <f t="shared" si="3"/>
        <v>34885</v>
      </c>
    </row>
    <row r="12" spans="1:17" x14ac:dyDescent="0.35">
      <c r="A12" s="18">
        <f>MAX($A$9:A11)+1</f>
        <v>4</v>
      </c>
      <c r="C12" t="s">
        <v>3</v>
      </c>
      <c r="D12" s="23" t="str">
        <f>"["&amp;A12&amp;"]"</f>
        <v>[4]</v>
      </c>
      <c r="E12" s="23"/>
      <c r="F12" s="12">
        <f>INDEX('Capital Expenditures'!$1:$1048576,MATCH($C12,'Capital Expenditures'!$B:$B,0),MATCH('Cumulative Capital Expenditure'!F$6,'Capital Expenditures'!$5:$5,0))</f>
        <v>2650</v>
      </c>
      <c r="G12" s="12">
        <f>INDEX('Capital Expenditures'!$1:$1048576,MATCH($C12,'Capital Expenditures'!$B:$B,0),MATCH('Cumulative Capital Expenditure'!G$6,'Capital Expenditures'!$5:$5,0))</f>
        <v>3600</v>
      </c>
      <c r="H12" s="12">
        <f>INDEX('Capital Expenditures'!$1:$1048576,MATCH($C12,'Capital Expenditures'!$B:$B,0),MATCH('Cumulative Capital Expenditure'!H$6,'Capital Expenditures'!$5:$5,0))</f>
        <v>3650</v>
      </c>
      <c r="I12" s="12">
        <f>INDEX('Capital Expenditures'!$1:$1048576,MATCH($C12,'Capital Expenditures'!$B:$B,0),MATCH('Cumulative Capital Expenditure'!I$6,'Capital Expenditures'!$5:$5,0))</f>
        <v>2819</v>
      </c>
      <c r="J12" s="12">
        <f>INDEX('Capital Expenditures'!$1:$1048576,MATCH($C12,'Capital Expenditures'!$B:$B,0),MATCH('Cumulative Capital Expenditure'!J$6,'Capital Expenditures'!$5:$5,0))</f>
        <v>2729</v>
      </c>
      <c r="K12" s="12">
        <f>INDEX('Capital Expenditures'!$1:$1048576,MATCH($C12,'Capital Expenditures'!$B:$B,0),MATCH('Cumulative Capital Expenditure'!K$6,'Capital Expenditures'!$5:$5,0))</f>
        <v>2901</v>
      </c>
      <c r="L12" s="12">
        <f>INDEX('Capital Expenditures'!$1:$1048576,MATCH($C12,'Capital Expenditures'!$B:$B,0),MATCH('Cumulative Capital Expenditure'!L$6,'Capital Expenditures'!$5:$5,0))</f>
        <v>4241</v>
      </c>
      <c r="M12" s="12">
        <f>INDEX('Capital Expenditures'!$1:$1048576,MATCH($C12,'Capital Expenditures'!$B:$B,0),MATCH('Cumulative Capital Expenditure'!M$6,'Capital Expenditures'!$5:$5,0))</f>
        <v>4317</v>
      </c>
      <c r="N12" s="12">
        <f>INDEX('Capital Expenditures'!$1:$1048576,MATCH($C12,'Capital Expenditures'!$B:$B,0),MATCH('Cumulative Capital Expenditure'!N$6,'Capital Expenditures'!$5:$5,0))</f>
        <v>4724</v>
      </c>
      <c r="O12" s="12">
        <f>INDEX('Capital Expenditures'!$1:$1048576,MATCH($C12,'Capital Expenditures'!$B:$B,0),MATCH('Cumulative Capital Expenditure'!O$6,'Capital Expenditures'!$5:$5,0))</f>
        <v>4702</v>
      </c>
      <c r="P12" s="29">
        <f t="shared" si="2"/>
        <v>20885</v>
      </c>
      <c r="Q12" s="29">
        <f t="shared" si="3"/>
        <v>36333</v>
      </c>
    </row>
    <row r="13" spans="1:17" ht="6" customHeight="1" thickBot="1" x14ac:dyDescent="0.4">
      <c r="C13" s="4"/>
      <c r="D13" s="4"/>
      <c r="E13" s="4"/>
      <c r="F13" s="4"/>
      <c r="G13" s="4"/>
      <c r="H13" s="4"/>
      <c r="I13" s="4"/>
      <c r="J13" s="4"/>
      <c r="K13" s="4"/>
      <c r="L13" s="4"/>
      <c r="M13" s="4"/>
      <c r="N13" s="4"/>
      <c r="O13" s="4"/>
      <c r="P13" s="42"/>
      <c r="Q13" s="4"/>
    </row>
    <row r="14" spans="1:17" ht="6" customHeight="1" thickTop="1" x14ac:dyDescent="0.35"/>
    <row r="15" spans="1:17" ht="90.75" customHeight="1" x14ac:dyDescent="0.35">
      <c r="C15" s="147" t="s">
        <v>102</v>
      </c>
      <c r="D15" s="147"/>
      <c r="E15" s="147"/>
      <c r="F15" s="147"/>
      <c r="G15" s="147"/>
      <c r="H15" s="147"/>
      <c r="I15" s="147"/>
      <c r="J15" s="147"/>
      <c r="K15" s="147"/>
      <c r="L15" s="147"/>
      <c r="M15" s="147"/>
      <c r="N15" s="147"/>
      <c r="O15" s="147"/>
      <c r="P15" s="147"/>
      <c r="Q15" s="147"/>
    </row>
    <row r="16" spans="1:17" x14ac:dyDescent="0.35">
      <c r="C16" t="s">
        <v>15</v>
      </c>
    </row>
    <row r="17" spans="3:3" x14ac:dyDescent="0.35">
      <c r="C17" t="str">
        <f>F7&amp;" - "&amp;O7&amp;": Capital expenditures in millions of dollars. For 2005 through 2009, capital expenditure values are estimated based on FCC chart."</f>
        <v>[B] - [K]: Capital expenditures in millions of dollars. For 2005 through 2009, capital expenditure values are estimated based on FCC chart.</v>
      </c>
    </row>
    <row r="18" spans="3:3" x14ac:dyDescent="0.35">
      <c r="C18" t="str">
        <f>P7&amp;": Sum of "&amp;K7&amp;" through "&amp;O7&amp;"."</f>
        <v>[L]: Sum of [G] through [K].</v>
      </c>
    </row>
    <row r="19" spans="3:3" x14ac:dyDescent="0.35">
      <c r="C19" t="str">
        <f>Q7&amp;": Sum of "&amp;F7&amp;" through "&amp;O7&amp;"."</f>
        <v>[M]: Sum of [B] through [K].</v>
      </c>
    </row>
  </sheetData>
  <mergeCells count="1">
    <mergeCell ref="C15:Q15"/>
  </mergeCells>
  <printOptions horizontalCentered="1"/>
  <pageMargins left="0.7" right="0.7" top="0.75" bottom="0.75" header="0.3" footer="0.3"/>
  <pageSetup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
  <sheetViews>
    <sheetView view="pageBreakPreview" zoomScale="60" zoomScaleNormal="100" workbookViewId="0"/>
  </sheetViews>
  <sheetFormatPr defaultColWidth="9.26953125" defaultRowHeight="14.5" x14ac:dyDescent="0.35"/>
  <cols>
    <col min="1" max="16384" width="9.26953125" style="30"/>
  </cols>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14"/>
  <sheetViews>
    <sheetView view="pageBreakPreview" zoomScaleNormal="100" zoomScaleSheetLayoutView="100" workbookViewId="0">
      <selection activeCell="E8" sqref="E8"/>
    </sheetView>
  </sheetViews>
  <sheetFormatPr defaultRowHeight="14.5" x14ac:dyDescent="0.35"/>
  <cols>
    <col min="2" max="2" width="16.7265625" customWidth="1"/>
    <col min="3" max="9" width="9.54296875" bestFit="1" customWidth="1"/>
    <col min="10" max="14" width="10.54296875" bestFit="1" customWidth="1"/>
  </cols>
  <sheetData>
    <row r="2" spans="2:16" ht="18.75" x14ac:dyDescent="0.3">
      <c r="B2" s="15" t="s">
        <v>52</v>
      </c>
      <c r="C2" s="15"/>
      <c r="D2" s="15"/>
      <c r="E2" s="15"/>
      <c r="F2" s="15"/>
      <c r="G2" s="15"/>
      <c r="H2" s="15"/>
      <c r="I2" s="15"/>
      <c r="J2" s="15"/>
      <c r="K2" s="15"/>
      <c r="L2" s="15"/>
      <c r="M2" s="15"/>
      <c r="N2" s="15"/>
    </row>
    <row r="3" spans="2:16" ht="6" customHeight="1" thickBot="1" x14ac:dyDescent="0.3">
      <c r="B3" s="4"/>
      <c r="C3" s="4"/>
      <c r="D3" s="4"/>
      <c r="E3" s="4"/>
      <c r="F3" s="4"/>
      <c r="G3" s="4"/>
      <c r="H3" s="4"/>
      <c r="I3" s="4"/>
      <c r="J3" s="4"/>
      <c r="K3" s="4"/>
      <c r="L3" s="4"/>
      <c r="M3" s="4"/>
      <c r="N3" s="4"/>
    </row>
    <row r="4" spans="2:16" ht="6" customHeight="1" thickTop="1" x14ac:dyDescent="0.25"/>
    <row r="5" spans="2:16" ht="15" x14ac:dyDescent="0.25">
      <c r="B5" s="8"/>
      <c r="C5" s="8">
        <v>2005</v>
      </c>
      <c r="D5" s="8">
        <v>2006</v>
      </c>
      <c r="E5" s="8">
        <v>2007</v>
      </c>
      <c r="F5" s="8">
        <v>2008</v>
      </c>
      <c r="G5" s="8">
        <v>2009</v>
      </c>
      <c r="H5" s="8">
        <v>2010</v>
      </c>
      <c r="I5" s="8">
        <v>2011</v>
      </c>
      <c r="J5" s="8">
        <v>2012</v>
      </c>
      <c r="K5" s="8">
        <v>2013</v>
      </c>
      <c r="L5" s="8">
        <v>2014</v>
      </c>
      <c r="M5" s="8">
        <v>2015</v>
      </c>
      <c r="N5" s="8">
        <v>2016</v>
      </c>
    </row>
    <row r="6" spans="2:16" ht="6" customHeight="1" x14ac:dyDescent="0.25"/>
    <row r="7" spans="2:16" ht="15" x14ac:dyDescent="0.25">
      <c r="B7" t="s">
        <v>1</v>
      </c>
      <c r="C7" s="29">
        <v>7450</v>
      </c>
      <c r="D7" s="29">
        <v>7100</v>
      </c>
      <c r="E7" s="29">
        <v>3700</v>
      </c>
      <c r="F7" s="29">
        <v>5900</v>
      </c>
      <c r="G7" s="29">
        <v>5900</v>
      </c>
      <c r="H7" s="29">
        <v>9171</v>
      </c>
      <c r="I7" s="29">
        <v>9764</v>
      </c>
      <c r="J7" s="29">
        <v>10795</v>
      </c>
      <c r="K7" s="29">
        <v>11191</v>
      </c>
      <c r="L7" s="29">
        <v>11383</v>
      </c>
      <c r="M7" s="29">
        <v>9400</v>
      </c>
      <c r="N7" s="29">
        <v>9750</v>
      </c>
    </row>
    <row r="8" spans="2:16" ht="14.65" x14ac:dyDescent="0.35">
      <c r="B8" t="s">
        <v>92</v>
      </c>
      <c r="C8" s="29">
        <v>6500</v>
      </c>
      <c r="D8" s="29">
        <v>6600</v>
      </c>
      <c r="E8" s="29">
        <v>6500</v>
      </c>
      <c r="F8" s="29">
        <v>6500</v>
      </c>
      <c r="G8" s="29">
        <v>7100</v>
      </c>
      <c r="H8" s="29">
        <v>8438</v>
      </c>
      <c r="I8" s="29">
        <v>8973</v>
      </c>
      <c r="J8" s="29">
        <v>8857</v>
      </c>
      <c r="K8" s="29">
        <v>9425</v>
      </c>
      <c r="L8" s="29">
        <v>10515</v>
      </c>
      <c r="M8" s="29">
        <v>11725</v>
      </c>
      <c r="N8" s="29">
        <v>11240</v>
      </c>
    </row>
    <row r="9" spans="2:16" ht="14.65" x14ac:dyDescent="0.35">
      <c r="B9" t="s">
        <v>2</v>
      </c>
      <c r="C9" s="29">
        <v>3600</v>
      </c>
      <c r="D9" s="29">
        <v>5900</v>
      </c>
      <c r="E9" s="29">
        <v>5100</v>
      </c>
      <c r="F9" s="29">
        <v>2400</v>
      </c>
      <c r="G9" s="29">
        <v>1100</v>
      </c>
      <c r="H9" s="29">
        <v>1444</v>
      </c>
      <c r="I9" s="29">
        <v>2415</v>
      </c>
      <c r="J9" s="29">
        <v>4884</v>
      </c>
      <c r="K9" s="29">
        <v>6833</v>
      </c>
      <c r="L9" s="29">
        <v>4886</v>
      </c>
      <c r="M9" s="29">
        <v>4026</v>
      </c>
      <c r="N9" s="29">
        <v>1797</v>
      </c>
    </row>
    <row r="10" spans="2:16" ht="14.65" x14ac:dyDescent="0.35">
      <c r="B10" t="s">
        <v>3</v>
      </c>
      <c r="C10" s="29">
        <v>2600</v>
      </c>
      <c r="D10" s="29">
        <v>3500</v>
      </c>
      <c r="E10" s="29">
        <v>2650</v>
      </c>
      <c r="F10" s="29">
        <v>3600</v>
      </c>
      <c r="G10" s="29">
        <v>3650</v>
      </c>
      <c r="H10" s="29">
        <v>2819</v>
      </c>
      <c r="I10" s="29">
        <v>2729</v>
      </c>
      <c r="J10" s="29">
        <v>2901</v>
      </c>
      <c r="K10" s="29">
        <v>4241</v>
      </c>
      <c r="L10" s="29">
        <v>4317</v>
      </c>
      <c r="M10" s="29">
        <v>4724</v>
      </c>
      <c r="N10" s="29">
        <v>4702</v>
      </c>
    </row>
    <row r="11" spans="2:16" ht="6" customHeight="1" thickBot="1" x14ac:dyDescent="0.4">
      <c r="B11" s="4"/>
      <c r="C11" s="4"/>
      <c r="D11" s="4"/>
      <c r="E11" s="4"/>
      <c r="F11" s="4"/>
      <c r="G11" s="4"/>
      <c r="H11" s="4"/>
      <c r="I11" s="4"/>
      <c r="J11" s="4"/>
      <c r="K11" s="4"/>
      <c r="L11" s="4"/>
      <c r="M11" s="4"/>
      <c r="N11" s="4"/>
    </row>
    <row r="12" spans="2:16" ht="6" customHeight="1" thickTop="1" x14ac:dyDescent="0.25"/>
    <row r="13" spans="2:16" ht="91.15" customHeight="1" x14ac:dyDescent="0.25">
      <c r="B13" s="147" t="s">
        <v>102</v>
      </c>
      <c r="C13" s="147"/>
      <c r="D13" s="147"/>
      <c r="E13" s="147"/>
      <c r="F13" s="147"/>
      <c r="G13" s="147"/>
      <c r="H13" s="147"/>
      <c r="I13" s="147"/>
      <c r="J13" s="147"/>
      <c r="K13" s="147"/>
      <c r="L13" s="147"/>
      <c r="M13" s="147"/>
      <c r="N13" s="147"/>
      <c r="O13" s="33"/>
      <c r="P13" s="33"/>
    </row>
    <row r="14" spans="2:16" ht="15" x14ac:dyDescent="0.25">
      <c r="B14" t="s">
        <v>49</v>
      </c>
    </row>
  </sheetData>
  <mergeCells count="1">
    <mergeCell ref="B13:N13"/>
  </mergeCells>
  <printOptions horizontalCentered="1"/>
  <pageMargins left="0.7" right="0.7" top="0.75" bottom="0.75" header="0.3" footer="0.3"/>
  <pageSetup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Final &gt; &gt;</vt:lpstr>
      <vt:lpstr>Table 26</vt:lpstr>
      <vt:lpstr>Intermediate &gt; &gt;</vt:lpstr>
      <vt:lpstr>Market Share of Facilities</vt:lpstr>
      <vt:lpstr>Connections and Market Shares</vt:lpstr>
      <vt:lpstr>Churn</vt:lpstr>
      <vt:lpstr>Cumulative Capital Expenditure</vt:lpstr>
      <vt:lpstr>Raw &gt; &gt;</vt:lpstr>
      <vt:lpstr>Capital Expenditures</vt:lpstr>
      <vt:lpstr>Wireless Coverage - 2016</vt:lpstr>
      <vt:lpstr>UBS 411 Figure 35</vt:lpstr>
      <vt:lpstr>FCC 16 Connections</vt:lpstr>
      <vt:lpstr>FCC 19 Connections</vt:lpstr>
      <vt:lpstr>FCC 20 Connections</vt:lpstr>
      <vt:lpstr>'Capital Expenditures'!Print_Area</vt:lpstr>
      <vt:lpstr>Churn!Print_Area</vt:lpstr>
      <vt:lpstr>'Connections and Market Shares'!Print_Area</vt:lpstr>
      <vt:lpstr>'Cumulative Capital Expenditure'!Print_Area</vt:lpstr>
      <vt:lpstr>'FCC 16 Connections'!Print_Area</vt:lpstr>
      <vt:lpstr>'FCC 19 Connections'!Print_Area</vt:lpstr>
      <vt:lpstr>'FCC 20 Connections'!Print_Area</vt:lpstr>
      <vt:lpstr>'Market Share of Facilities'!Print_Area</vt:lpstr>
      <vt:lpstr>'Table 26'!Print_Area</vt:lpstr>
      <vt:lpstr>'UBS 411 Figure 35'!Print_Area</vt:lpstr>
      <vt:lpstr>'Wireless Coverage - 2016'!Print_Area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2018-09-21T20:11:29Z</dcterms:created>
  <dcterms:modified xsi:type="dcterms:W3CDTF">2018-09-26T15:09:10Z</dcterms:modified>
</cp:coreProperties>
</file>