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5570" windowHeight="6240" tabRatio="918" activeTab="5"/>
  </bookViews>
  <sheets>
    <sheet name="Final Analysis &gt;&gt;&gt;" sheetId="18" r:id="rId1"/>
    <sheet name="Table 27" sheetId="43" r:id="rId2"/>
    <sheet name="CPPI - TMUS-Verizon" sheetId="30" r:id="rId3"/>
    <sheet name="CPPI - Sprint-Verizon" sheetId="38" r:id="rId4"/>
    <sheet name="CPPI - TMUS-AT&amp;T" sheetId="39" r:id="rId5"/>
    <sheet name="CPPI - Sprint-AT&amp;T" sheetId="40" r:id="rId6"/>
    <sheet name="Key Assumptions &gt;&gt;&gt;" sheetId="27" r:id="rId7"/>
    <sheet name="CPPI Assumptions" sheetId="41" r:id="rId8"/>
    <sheet name="Intermediate Analysis &gt;&gt;&gt;" sheetId="13" r:id="rId9"/>
    <sheet name="Margins and Elasticities" sheetId="45" r:id="rId10"/>
    <sheet name="Div. Ratios Summary" sheetId="61" r:id="rId11"/>
    <sheet name="Raw Data &gt;&gt;" sheetId="4" r:id="rId12"/>
    <sheet name="Subs" sheetId="65" r:id="rId13"/>
    <sheet name="Diversion Ratios" sheetId="64" r:id="rId14"/>
  </sheets>
  <definedNames>
    <definedName name="_xlnm.Print_Area" localSheetId="5">'CPPI - Sprint-AT&amp;T'!$C$3:$M$41</definedName>
    <definedName name="_xlnm.Print_Area" localSheetId="3">'CPPI - Sprint-Verizon'!$C$3:$M$41</definedName>
    <definedName name="_xlnm.Print_Area" localSheetId="4">'CPPI - TMUS-AT&amp;T'!$C$3:$M$41</definedName>
    <definedName name="_xlnm.Print_Area" localSheetId="2">'CPPI - TMUS-Verizon'!$C$3:$M$41</definedName>
    <definedName name="_xlnm.Print_Area" localSheetId="7">'CPPI Assumptions'!$A$2:$B$21</definedName>
    <definedName name="_xlnm.Print_Area" localSheetId="10">'Div. Ratios Summary'!$C$3:$I$18</definedName>
    <definedName name="_xlnm.Print_Area" localSheetId="9">'Margins and Elasticities'!$B$4:$G$17</definedName>
    <definedName name="_xlnm.Print_Area" localSheetId="1">'Table 27'!$B$4:$E$23</definedName>
  </definedNames>
  <calcPr calcId="145621"/>
</workbook>
</file>

<file path=xl/calcChain.xml><?xml version="1.0" encoding="utf-8"?>
<calcChain xmlns="http://schemas.openxmlformats.org/spreadsheetml/2006/main">
  <c r="D10" i="45" l="1"/>
  <c r="B8" i="43" l="1"/>
  <c r="B20" i="43" s="1"/>
  <c r="I14" i="61" l="1"/>
  <c r="I13" i="61"/>
  <c r="G11" i="45" l="1"/>
  <c r="G12" i="45"/>
  <c r="G13" i="45"/>
  <c r="G10" i="45"/>
  <c r="D13" i="45"/>
  <c r="D12" i="45"/>
  <c r="D11" i="45"/>
  <c r="C11" i="45"/>
  <c r="C12" i="45"/>
  <c r="C13" i="45"/>
  <c r="C10" i="45"/>
  <c r="G22" i="30"/>
  <c r="G15" i="30"/>
  <c r="G14" i="30"/>
  <c r="G22" i="38"/>
  <c r="G15" i="38"/>
  <c r="G14" i="38"/>
  <c r="F14" i="45" l="1"/>
  <c r="G14" i="45" s="1"/>
  <c r="G22" i="39"/>
  <c r="G15" i="39"/>
  <c r="G14" i="39"/>
  <c r="G22" i="40"/>
  <c r="C14" i="65"/>
  <c r="D14" i="65"/>
  <c r="E14" i="65"/>
  <c r="F14" i="65"/>
  <c r="G15" i="40"/>
  <c r="G14" i="40"/>
  <c r="G21" i="39" l="1"/>
  <c r="G21" i="30"/>
  <c r="G21" i="38"/>
  <c r="C14" i="45"/>
  <c r="G21" i="40"/>
  <c r="J27" i="64"/>
  <c r="H27" i="64"/>
  <c r="U26" i="64" s="1"/>
  <c r="G11" i="61" s="1"/>
  <c r="G27" i="64"/>
  <c r="N26" i="64" s="1"/>
  <c r="F27" i="64"/>
  <c r="M23" i="64" s="1"/>
  <c r="E27" i="64"/>
  <c r="L26" i="64" s="1"/>
  <c r="D27" i="64"/>
  <c r="K25" i="64" s="1"/>
  <c r="AA26" i="64"/>
  <c r="T26" i="64"/>
  <c r="O26" i="64"/>
  <c r="J26" i="64"/>
  <c r="AA25" i="64"/>
  <c r="T25" i="64"/>
  <c r="O25" i="64"/>
  <c r="L25" i="64"/>
  <c r="J25" i="64"/>
  <c r="AA24" i="64"/>
  <c r="V24" i="64"/>
  <c r="S24" i="64"/>
  <c r="M24" i="64"/>
  <c r="L24" i="64"/>
  <c r="K24" i="64"/>
  <c r="J24" i="64"/>
  <c r="AA23" i="64"/>
  <c r="U23" i="64"/>
  <c r="O23" i="64"/>
  <c r="L23" i="64"/>
  <c r="J23" i="64"/>
  <c r="AE22" i="64"/>
  <c r="AD22" i="64"/>
  <c r="AC22" i="64"/>
  <c r="AB22" i="64"/>
  <c r="L22" i="64"/>
  <c r="M22" i="64" s="1"/>
  <c r="N22" i="64" s="1"/>
  <c r="E22" i="64"/>
  <c r="F22" i="64" s="1"/>
  <c r="G22" i="64" s="1"/>
  <c r="G12" i="64"/>
  <c r="F12" i="64"/>
  <c r="E12" i="64"/>
  <c r="D12" i="64"/>
  <c r="H11" i="64"/>
  <c r="H12" i="64" s="1"/>
  <c r="K26" i="64" l="1"/>
  <c r="K23" i="64"/>
  <c r="T23" i="64"/>
  <c r="H12" i="61" s="1"/>
  <c r="H15" i="61" s="1"/>
  <c r="O24" i="64"/>
  <c r="M25" i="64"/>
  <c r="M27" i="64" s="1"/>
  <c r="V25" i="64"/>
  <c r="M26" i="64"/>
  <c r="V23" i="64"/>
  <c r="U24" i="64"/>
  <c r="F11" i="61" s="1"/>
  <c r="S25" i="64"/>
  <c r="S26" i="64"/>
  <c r="AB26" i="64" s="1"/>
  <c r="AF26" i="64" s="1"/>
  <c r="AE23" i="64"/>
  <c r="H13" i="61"/>
  <c r="AD24" i="64"/>
  <c r="AB25" i="64"/>
  <c r="E14" i="61"/>
  <c r="AC25" i="64"/>
  <c r="E12" i="61"/>
  <c r="AE24" i="64"/>
  <c r="F13" i="61"/>
  <c r="AC23" i="64"/>
  <c r="AE25" i="64"/>
  <c r="E13" i="61"/>
  <c r="AC26" i="64"/>
  <c r="G12" i="61"/>
  <c r="G14" i="61"/>
  <c r="AD23" i="64"/>
  <c r="H11" i="61"/>
  <c r="AB24" i="64"/>
  <c r="F14" i="61"/>
  <c r="AD26" i="64"/>
  <c r="N25" i="64"/>
  <c r="K27" i="64"/>
  <c r="O27" i="64"/>
  <c r="N23" i="64"/>
  <c r="L27" i="64"/>
  <c r="N24" i="64"/>
  <c r="AF25" i="64" l="1"/>
  <c r="AF23" i="64"/>
  <c r="AF24" i="64"/>
  <c r="G15" i="61"/>
  <c r="N27" i="64"/>
  <c r="H22" i="40"/>
  <c r="F22" i="40"/>
  <c r="H22" i="39"/>
  <c r="F22" i="39"/>
  <c r="H22" i="38"/>
  <c r="F22" i="38"/>
  <c r="H22" i="30"/>
  <c r="F14" i="30"/>
  <c r="F22" i="30"/>
  <c r="F15" i="40"/>
  <c r="F14" i="40"/>
  <c r="F15" i="38"/>
  <c r="F14" i="38"/>
  <c r="F15" i="39"/>
  <c r="F14" i="39"/>
  <c r="F15" i="30"/>
  <c r="H15" i="40" l="1"/>
  <c r="H14" i="40"/>
  <c r="H14" i="38"/>
  <c r="H15" i="38"/>
  <c r="H15" i="39"/>
  <c r="H14" i="39"/>
  <c r="H15" i="30"/>
  <c r="H14" i="30"/>
  <c r="A12" i="61" l="1"/>
  <c r="D12" i="61" s="1"/>
  <c r="D11" i="61"/>
  <c r="E8" i="61"/>
  <c r="F1" i="61"/>
  <c r="F8" i="61" s="1"/>
  <c r="G1" i="61" l="1"/>
  <c r="G8" i="61" s="1"/>
  <c r="A13" i="61"/>
  <c r="D13" i="61" s="1"/>
  <c r="H1" i="61"/>
  <c r="H8" i="61" s="1"/>
  <c r="D1" i="45"/>
  <c r="E1" i="45" s="1"/>
  <c r="F1" i="45" s="1"/>
  <c r="H21" i="39" l="1"/>
  <c r="F21" i="30"/>
  <c r="F21" i="39"/>
  <c r="F21" i="40"/>
  <c r="F21" i="38"/>
  <c r="H21" i="30"/>
  <c r="A14" i="61"/>
  <c r="D14" i="61" s="1"/>
  <c r="H21" i="38" l="1"/>
  <c r="H21" i="40"/>
  <c r="A15" i="61"/>
  <c r="D15" i="61" s="1"/>
  <c r="C1" i="43" l="1"/>
  <c r="C8" i="43" l="1"/>
  <c r="B21" i="43" s="1"/>
  <c r="D1" i="43"/>
  <c r="D8" i="43" s="1"/>
  <c r="B22" i="43" s="1"/>
  <c r="E1" i="43" l="1"/>
  <c r="E8" i="43" s="1"/>
  <c r="B23" i="43" s="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B32" i="40"/>
  <c r="A14" i="40"/>
  <c r="D14" i="40" s="1"/>
  <c r="E10" i="40"/>
  <c r="C34" i="40" s="1"/>
  <c r="D7" i="40"/>
  <c r="C33" i="40" s="1"/>
  <c r="F1" i="40"/>
  <c r="F10" i="40" s="1"/>
  <c r="B32" i="39"/>
  <c r="A14" i="39"/>
  <c r="A15" i="39" s="1"/>
  <c r="D15" i="39" s="1"/>
  <c r="E10" i="39"/>
  <c r="C34" i="39" s="1"/>
  <c r="D7" i="39"/>
  <c r="C33" i="39" s="1"/>
  <c r="F1" i="39"/>
  <c r="F10" i="39" s="1"/>
  <c r="B32" i="38"/>
  <c r="A14" i="38"/>
  <c r="A15" i="38" s="1"/>
  <c r="D15" i="38" s="1"/>
  <c r="E10" i="38"/>
  <c r="C34" i="38" s="1"/>
  <c r="D7" i="38"/>
  <c r="C33" i="38" s="1"/>
  <c r="F1" i="38"/>
  <c r="F10" i="38" s="1"/>
  <c r="D14" i="39" l="1"/>
  <c r="D14" i="38"/>
  <c r="G1" i="39"/>
  <c r="H1" i="39" s="1"/>
  <c r="G1" i="38"/>
  <c r="G10" i="38" s="1"/>
  <c r="C35" i="38" s="1"/>
  <c r="A15" i="40"/>
  <c r="G1" i="40"/>
  <c r="H1" i="40" s="1"/>
  <c r="H10" i="40" s="1"/>
  <c r="C36" i="40" s="1"/>
  <c r="A17" i="39"/>
  <c r="A17" i="38"/>
  <c r="D7" i="30"/>
  <c r="A14" i="30"/>
  <c r="A15" i="30" s="1"/>
  <c r="B32" i="30"/>
  <c r="G10" i="39" l="1"/>
  <c r="C35" i="39" s="1"/>
  <c r="H1" i="38"/>
  <c r="H10" i="38" s="1"/>
  <c r="C36" i="38" s="1"/>
  <c r="G10" i="40"/>
  <c r="C35" i="40" s="1"/>
  <c r="I1" i="40"/>
  <c r="I10" i="40" s="1"/>
  <c r="D15" i="40"/>
  <c r="A17" i="40"/>
  <c r="H10" i="39"/>
  <c r="C36" i="39" s="1"/>
  <c r="I1" i="39"/>
  <c r="D17" i="39"/>
  <c r="A21" i="39"/>
  <c r="I1" i="38"/>
  <c r="J1" i="38" s="1"/>
  <c r="J10" i="38" s="1"/>
  <c r="A21" i="38"/>
  <c r="D17" i="38"/>
  <c r="J1" i="40" l="1"/>
  <c r="J10" i="40" s="1"/>
  <c r="D17" i="40"/>
  <c r="A21" i="40"/>
  <c r="A22" i="40" s="1"/>
  <c r="D22" i="40" s="1"/>
  <c r="D21" i="39"/>
  <c r="I10" i="39"/>
  <c r="A22" i="39"/>
  <c r="D22" i="39" s="1"/>
  <c r="J1" i="39"/>
  <c r="D21" i="38"/>
  <c r="A22" i="38"/>
  <c r="D22" i="38" s="1"/>
  <c r="K1" i="38"/>
  <c r="I10" i="38"/>
  <c r="A25" i="38" l="1"/>
  <c r="K1" i="40"/>
  <c r="K10" i="40" s="1"/>
  <c r="D21" i="40"/>
  <c r="A25" i="40"/>
  <c r="D25" i="40" s="1"/>
  <c r="J10" i="39"/>
  <c r="K1" i="39"/>
  <c r="A25" i="39"/>
  <c r="K10" i="38"/>
  <c r="L1" i="38"/>
  <c r="L10" i="38" s="1"/>
  <c r="D25" i="38" l="1"/>
  <c r="A28" i="38"/>
  <c r="D28" i="38" s="1"/>
  <c r="L1" i="40"/>
  <c r="M1" i="40" s="1"/>
  <c r="M10" i="40" s="1"/>
  <c r="A28" i="40"/>
  <c r="D28" i="40" s="1"/>
  <c r="M1" i="38"/>
  <c r="M10" i="38" s="1"/>
  <c r="D25" i="39"/>
  <c r="A28" i="39"/>
  <c r="D28" i="39" s="1"/>
  <c r="K10" i="39"/>
  <c r="L1" i="39"/>
  <c r="L10" i="40" l="1"/>
  <c r="L10" i="39"/>
  <c r="M1" i="39"/>
  <c r="M10" i="39" s="1"/>
  <c r="J14" i="30" l="1"/>
  <c r="J14" i="38"/>
  <c r="J21" i="30"/>
  <c r="J22" i="39"/>
  <c r="J22" i="30"/>
  <c r="J14" i="40"/>
  <c r="J21" i="39"/>
  <c r="J15" i="40"/>
  <c r="J21" i="38"/>
  <c r="J14" i="39"/>
  <c r="J15" i="39"/>
  <c r="J15" i="38"/>
  <c r="J21" i="40"/>
  <c r="J22" i="40"/>
  <c r="J22" i="38"/>
  <c r="J15" i="30"/>
  <c r="E10" i="30"/>
  <c r="F1" i="30"/>
  <c r="G1" i="30" l="1"/>
  <c r="G10" i="30" s="1"/>
  <c r="F10" i="30"/>
  <c r="H1" i="30" l="1"/>
  <c r="I1" i="30" s="1"/>
  <c r="I10" i="30" s="1"/>
  <c r="J1" i="30" l="1"/>
  <c r="J10" i="30" s="1"/>
  <c r="H10" i="30"/>
  <c r="K1" i="30" l="1"/>
  <c r="L1" i="30" s="1"/>
  <c r="K10" i="30" l="1"/>
  <c r="M1" i="30"/>
  <c r="M10" i="30" s="1"/>
  <c r="L10" i="30"/>
  <c r="E14" i="40" l="1"/>
  <c r="I15" i="40" s="1"/>
  <c r="E21" i="30" l="1"/>
  <c r="I22" i="30" s="1"/>
  <c r="E21" i="38"/>
  <c r="I22" i="38" s="1"/>
  <c r="E14" i="38"/>
  <c r="I15" i="38" s="1"/>
  <c r="E21" i="39"/>
  <c r="I22" i="39" s="1"/>
  <c r="E21" i="40"/>
  <c r="I22" i="40" s="1"/>
  <c r="E22" i="30" l="1"/>
  <c r="I21" i="30" s="1"/>
  <c r="E15" i="30"/>
  <c r="I14" i="30" s="1"/>
  <c r="E14" i="30"/>
  <c r="E22" i="38"/>
  <c r="I21" i="38" s="1"/>
  <c r="E15" i="38"/>
  <c r="I14" i="38" s="1"/>
  <c r="E22" i="39"/>
  <c r="I21" i="39" s="1"/>
  <c r="E15" i="39"/>
  <c r="I14" i="39" s="1"/>
  <c r="E14" i="39"/>
  <c r="E22" i="40"/>
  <c r="I21" i="40" s="1"/>
  <c r="E15" i="40"/>
  <c r="I14" i="40" s="1"/>
  <c r="L14" i="39" l="1"/>
  <c r="I15" i="39"/>
  <c r="K14" i="30"/>
  <c r="I15" i="30"/>
  <c r="L15" i="30" s="1"/>
  <c r="K15" i="38"/>
  <c r="L15" i="38"/>
  <c r="K21" i="38"/>
  <c r="K15" i="40"/>
  <c r="L15" i="40"/>
  <c r="K14" i="39"/>
  <c r="L14" i="30"/>
  <c r="K14" i="40"/>
  <c r="L14" i="40"/>
  <c r="K21" i="39"/>
  <c r="L21" i="39"/>
  <c r="K21" i="40"/>
  <c r="L21" i="40"/>
  <c r="K14" i="38"/>
  <c r="M14" i="38" s="1"/>
  <c r="L14" i="38"/>
  <c r="K21" i="30"/>
  <c r="L21" i="30"/>
  <c r="L15" i="39"/>
  <c r="K15" i="39"/>
  <c r="M15" i="39" s="1"/>
  <c r="L22" i="39"/>
  <c r="K22" i="39"/>
  <c r="K22" i="30"/>
  <c r="L22" i="30"/>
  <c r="K15" i="30"/>
  <c r="L22" i="40"/>
  <c r="K22" i="40"/>
  <c r="L22" i="38"/>
  <c r="K22" i="38"/>
  <c r="M14" i="30" l="1"/>
  <c r="M15" i="38"/>
  <c r="E17" i="38" s="1"/>
  <c r="L21" i="38"/>
  <c r="M22" i="38" s="1"/>
  <c r="M14" i="40"/>
  <c r="M15" i="40"/>
  <c r="M14" i="39"/>
  <c r="E17" i="39" s="1"/>
  <c r="M15" i="30"/>
  <c r="M22" i="39"/>
  <c r="M22" i="40"/>
  <c r="M21" i="40"/>
  <c r="M21" i="39"/>
  <c r="M21" i="38"/>
  <c r="M21" i="30"/>
  <c r="M22" i="30"/>
  <c r="C12" i="43"/>
  <c r="C13" i="43"/>
  <c r="E17" i="30" l="1"/>
  <c r="E17" i="40"/>
  <c r="E25" i="30"/>
  <c r="E25" i="39"/>
  <c r="E28" i="39" s="1"/>
  <c r="E25" i="38"/>
  <c r="E25" i="40"/>
  <c r="D13" i="43"/>
  <c r="C11" i="43"/>
  <c r="E12" i="43"/>
  <c r="C14" i="43"/>
  <c r="D11" i="43"/>
  <c r="D14" i="43"/>
  <c r="D12" i="43"/>
  <c r="E28" i="30" l="1"/>
  <c r="E28" i="38"/>
  <c r="E28" i="40"/>
  <c r="E13" i="43"/>
  <c r="E11" i="43"/>
  <c r="E14" i="43"/>
  <c r="D14" i="30" l="1"/>
  <c r="D15" i="30" l="1"/>
  <c r="A17" i="30"/>
  <c r="D17" i="30" s="1"/>
  <c r="A21" i="30" l="1"/>
  <c r="A22" i="30" s="1"/>
  <c r="D22" i="30" l="1"/>
  <c r="D21" i="30"/>
  <c r="A25" i="30"/>
  <c r="D25" i="30" s="1"/>
  <c r="A28" i="30" l="1"/>
  <c r="D28" i="30" s="1"/>
</calcChain>
</file>

<file path=xl/sharedStrings.xml><?xml version="1.0" encoding="utf-8"?>
<sst xmlns="http://schemas.openxmlformats.org/spreadsheetml/2006/main" count="282" uniqueCount="120">
  <si>
    <t>Verizon Wireless</t>
  </si>
  <si>
    <t>AT&amp;T</t>
  </si>
  <si>
    <t>T-Mobile</t>
  </si>
  <si>
    <t>Sprint</t>
  </si>
  <si>
    <t>U.S. Cellular</t>
  </si>
  <si>
    <t>-</t>
  </si>
  <si>
    <t>Total Connections (thousands)</t>
  </si>
  <si>
    <t>Notes:</t>
  </si>
  <si>
    <t>Outside Option</t>
  </si>
  <si>
    <t>Diversion Ratios for T-Mobile</t>
  </si>
  <si>
    <t>Diversion Ratio</t>
  </si>
  <si>
    <t>US Cellular</t>
  </si>
  <si>
    <t>Based on Gross Subscriber Addition Share</t>
  </si>
  <si>
    <t>Variable Profit Margin (%)</t>
  </si>
  <si>
    <t>1Q16</t>
  </si>
  <si>
    <t>2Q16</t>
  </si>
  <si>
    <t>3Q16</t>
  </si>
  <si>
    <t>4Q16</t>
  </si>
  <si>
    <t>Gross Additions in thousands</t>
  </si>
  <si>
    <t>Year</t>
  </si>
  <si>
    <t>Sources: FCC Mobile Wireless, 20th Report and UBS Wireless Telecommunications report released February 22nd, 2017. Values are taken from 2016.</t>
  </si>
  <si>
    <t>Diversion ratios from Firm X to Firm Y are calculated as Firm Y's share of gross additions for all firms except Firm X in the relevant year.</t>
  </si>
  <si>
    <t>Price-cost margins for each firm are taken to be the EBITDA per subscriber per month given in the FCC Wireless Competition reports.</t>
  </si>
  <si>
    <t>The Coordinated Price Pressure Test</t>
  </si>
  <si>
    <t>Discount Rate</t>
  </si>
  <si>
    <t>Own-Price Elasticity</t>
  </si>
  <si>
    <t>Total Firm Connections (thousands)</t>
  </si>
  <si>
    <t>Verizon</t>
  </si>
  <si>
    <t>Pre-Merger</t>
  </si>
  <si>
    <t>T-Mobile and Verizon</t>
  </si>
  <si>
    <t>Sprint and Verizon</t>
  </si>
  <si>
    <t>Maximum Price Increase (Initiate, %)</t>
  </si>
  <si>
    <t>Maximum Price Increase (Match, %)</t>
  </si>
  <si>
    <t>Pre-Merger CPPI:</t>
  </si>
  <si>
    <t>Post-Merger</t>
  </si>
  <si>
    <t>T-Mobile/Sprint</t>
  </si>
  <si>
    <t>Post-Merger CPPI:</t>
  </si>
  <si>
    <t>Change in CPPI:</t>
  </si>
  <si>
    <t>Discount Rate:</t>
  </si>
  <si>
    <t>Largest Sustainable Increase in Price (%)</t>
  </si>
  <si>
    <t>F (Intermediate Calculation)</t>
  </si>
  <si>
    <t>θ (Intermediate Calculation)</t>
  </si>
  <si>
    <t>Sprint/T-Mobile</t>
  </si>
  <si>
    <t>T-Mobile and AT&amp;T</t>
  </si>
  <si>
    <t>Sprint and AT&amp;T</t>
  </si>
  <si>
    <t>Key Assumptions for CPPI Test</t>
  </si>
  <si>
    <t>The CPPI formula used assumes differentiated Bertrand competition.</t>
  </si>
  <si>
    <r>
      <t xml:space="preserve">The firm choosing whether or not to match a price increase either chooses to exactly match the </t>
    </r>
    <r>
      <rPr>
        <b/>
        <sz val="11"/>
        <color theme="1"/>
        <rFont val="Calibri"/>
        <family val="2"/>
        <scheme val="minor"/>
      </rPr>
      <t>percentage</t>
    </r>
    <r>
      <rPr>
        <sz val="11"/>
        <color theme="1"/>
        <rFont val="Calibri"/>
        <family val="2"/>
        <scheme val="minor"/>
      </rPr>
      <t xml:space="preserve"> increase in price, or to not increase price at all</t>
    </r>
  </si>
  <si>
    <t>Prices for all other firms in the market remain constant.</t>
  </si>
  <si>
    <t>Post-merger, the diversion ratio for the merged firm equals the sum of the diversion ratios for each individual firm.</t>
  </si>
  <si>
    <t>Post-merger diversion ratio for the non-merging firm is the unweighted average of the diversion ratios it had with each of the two merging firms.</t>
  </si>
  <si>
    <t>There is one "lead" firm in the merger that effectively takes control of the other merging firm.  Post-merger, the margin and own-price elasticity for this "lead" firm remains unchanged.</t>
  </si>
  <si>
    <t>Demand is assumed to be linear.</t>
  </si>
  <si>
    <t>The CPPI is the maximum price increase which is still profitable.  It is not the profit-maximizing price increase.</t>
  </si>
  <si>
    <t>Own-price elasticities are calculated using the EBITDA margins from the FCC Mobile Wireless reports and the Lerner Index.  They are calculated as elasticity = -1/(EBITDA margin).  This assumption further assumes that the market is already in Bertrand equilibrium and there is no pricing coordination pre-merger.</t>
  </si>
  <si>
    <t>Absent the coordinated price increases examined in the test, prices for the merging firms are assumed to remain the same post-merger.</t>
  </si>
  <si>
    <t>Post-merger sales for the merged firm equals the pre-merger sales for both of the individual merging firms.</t>
  </si>
  <si>
    <t>The merged firm would raise the prices for products of both the original firms by the same percentage if it tried to engage in parallel accomodating conduct.</t>
  </si>
  <si>
    <t>The CPPI requires an assumed discount rate, the rate in the CPPI tables is selected in row [1].</t>
  </si>
  <si>
    <t>2017E</t>
  </si>
  <si>
    <t>T-Mobile - Verizon</t>
  </si>
  <si>
    <t>T-Mobile - AT&amp;T</t>
  </si>
  <si>
    <t>Sprint - Verizon</t>
  </si>
  <si>
    <t>Sprint - AT&amp;T</t>
  </si>
  <si>
    <t>Pre-Merger CPPI</t>
  </si>
  <si>
    <t>Post-Merger CPPI</t>
  </si>
  <si>
    <t>Delta CPPI</t>
  </si>
  <si>
    <t>ARPU</t>
  </si>
  <si>
    <t>Margin</t>
  </si>
  <si>
    <t>Implied Elasticity</t>
  </si>
  <si>
    <t>New T-Mobile</t>
  </si>
  <si>
    <t>Using a weighted average of Sprint and T-Mobile margins.</t>
  </si>
  <si>
    <t>Wireless Providers</t>
  </si>
  <si>
    <t>Monthly Marginal Cost</t>
  </si>
  <si>
    <t>[A]</t>
  </si>
  <si>
    <t>[B]</t>
  </si>
  <si>
    <t>[C]</t>
  </si>
  <si>
    <t>[D]</t>
  </si>
  <si>
    <t>[E]</t>
  </si>
  <si>
    <t>[F]</t>
  </si>
  <si>
    <t>New TMobile</t>
  </si>
  <si>
    <t>Diversion to Outside</t>
  </si>
  <si>
    <t>Postpaid Shares of Gross Adds</t>
  </si>
  <si>
    <t>TO</t>
  </si>
  <si>
    <t>TOTAL</t>
  </si>
  <si>
    <t>POSTPAID ONLY</t>
  </si>
  <si>
    <t>Postpaid Gross Adds</t>
  </si>
  <si>
    <r>
      <t xml:space="preserve">Implied </t>
    </r>
    <r>
      <rPr>
        <b/>
        <u/>
        <sz val="11"/>
        <color rgb="FF00B0F0"/>
        <rFont val="Calibri"/>
        <family val="2"/>
        <scheme val="minor"/>
      </rPr>
      <t>2017E</t>
    </r>
    <r>
      <rPr>
        <b/>
        <sz val="11"/>
        <color rgb="FF00B0F0"/>
        <rFont val="Calibri"/>
        <family val="2"/>
        <scheme val="minor"/>
      </rPr>
      <t xml:space="preserve"> Recapture Rates (proportional to adds)</t>
    </r>
  </si>
  <si>
    <r>
      <t xml:space="preserve">Implied </t>
    </r>
    <r>
      <rPr>
        <b/>
        <u/>
        <sz val="11"/>
        <color rgb="FF00B0F0"/>
        <rFont val="Calibri"/>
        <family val="2"/>
        <scheme val="minor"/>
      </rPr>
      <t>2017E</t>
    </r>
    <r>
      <rPr>
        <b/>
        <sz val="11"/>
        <color rgb="FF00B0F0"/>
        <rFont val="Calibri"/>
        <family val="2"/>
        <scheme val="minor"/>
      </rPr>
      <t xml:space="preserve"> Diversion Ratios (proportional to adds)</t>
    </r>
  </si>
  <si>
    <t>Outside</t>
  </si>
  <si>
    <t>FROM</t>
  </si>
  <si>
    <t>FROM &gt;</t>
  </si>
  <si>
    <t>Total</t>
  </si>
  <si>
    <t>Post-Paid Market Share (%)</t>
  </si>
  <si>
    <t>Postpaid Connections, Margins, Elasticities by Wireless Provider, 2017</t>
  </si>
  <si>
    <t>Retention Ratio</t>
  </si>
  <si>
    <t>Pre-Merger Coalition</t>
  </si>
  <si>
    <t>Source: John C. Hodulik, Batya Levi, Christopher Schoell, and Lisa L. Friedman, "Wireless 411: A difficult market asking for repair?" UBS, February 22, 2017, p. 15.</t>
  </si>
  <si>
    <t>2014-2017</t>
  </si>
  <si>
    <t>Postpaid Subscibers and Market Share</t>
  </si>
  <si>
    <t>TO &gt;</t>
  </si>
  <si>
    <t>Source: John C. Hodulik, Batya Levi, Christopher Schoell, and Lisa L. Friedman, "Wireless 411: A difficult market asking for repair?" UBS, February 22, 2017.</t>
  </si>
  <si>
    <t>Source: John C. Hodulik, Batya Levi, Christopher Schoell, and Lisa L. Friedman, "Wireless 411: A difficult market asking for repair?" UBS, February 22, 2017, p. 18.</t>
  </si>
  <si>
    <t>See Table 17.</t>
  </si>
  <si>
    <t xml:space="preserve">See Table 8 and Table 12. </t>
  </si>
  <si>
    <t>TMUS-Verizon</t>
  </si>
  <si>
    <t>TMUS-AT&amp;T</t>
  </si>
  <si>
    <t>Sprint-Verizon</t>
  </si>
  <si>
    <t>Sprint-AT&amp;T</t>
  </si>
  <si>
    <t xml:space="preserve">Sources: 20th Mobile Wireless Competition Report; UBS Wireless Report; 2017 Company Annual Reports. </t>
  </si>
  <si>
    <t>Table 27</t>
  </si>
  <si>
    <t>[1]: Assumed discount rate for wireless carriers.</t>
  </si>
  <si>
    <t>[A]: Diversion ratios are constructed based on annual gross additions.  Ratio for T-Mobile post-merger is the sum of the diversion ratios from Verizon to both T-Mobile and Sprint.  Diversion ratio for Verizon post-merger is the average of the diversion ratios to Verizon from Sprint and T-Mobile.</t>
  </si>
  <si>
    <t>[B]-[C]: From FCC Mobile Wireless, 20th Report.</t>
  </si>
  <si>
    <t>[D]: Calculated using EBITDA margins reported in the 20th FCC Mobile Wireless Report and the Learner Index.</t>
  </si>
  <si>
    <t>[F] = 1 + [1 / ([B] x [D])].</t>
  </si>
  <si>
    <t>[G] = ([(1 - [1]) x [E] - [F]] / [1 - (1 - [1]) x [E]]) x [B].</t>
  </si>
  <si>
    <t>[H] = ([(1 - [1]) x [E] - [F]] / [1 - [E]]) x [B].</t>
  </si>
  <si>
    <t>[E] = ([A][i] x [C][j] x [D][j]) / ([C][i] x [D][i]). Where [i] indicates the firm's own value and [j] indicates the value for the other firm.</t>
  </si>
  <si>
    <t>[I] = MIN([G][i], [H][j]). Where [i] indicates the firm's own value and [j] indicates the value for the other firm.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</si>
</sst>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0.0%"/>
    <numFmt numFmtId="167" formatCode="General_)"/>
    <numFmt numFmtId="168" formatCode="0.00_)"/>
    <numFmt numFmtId="169" formatCode="&quot;[&quot;#&quot;]&quot;"/>
    <numFmt numFmtId="170" formatCode="&quot;[&quot;#&quot;]:&quot;"/>
    <numFmt numFmtId="171" formatCode="0_);\(0\)"/>
    <numFmt numFmtId="172" formatCode="#,##0.0"/>
    <numFmt numFmtId="173" formatCode="0.00000"/>
    <numFmt numFmtId="174" formatCode="&quot;$&quot;#0.0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9"/>
      <name val="Arial"/>
      <family val="2"/>
    </font>
    <font>
      <sz val="10"/>
      <name val="Helv"/>
    </font>
    <font>
      <sz val="10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MS Sans Serif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5"/>
      <color theme="8"/>
      <name val="Calibri"/>
      <family val="2"/>
      <scheme val="minor"/>
    </font>
    <font>
      <b/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Helv"/>
    </font>
    <font>
      <sz val="10"/>
      <color rgb="FF00000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u/>
      <sz val="11"/>
      <color rgb="FF00B0F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sz val="7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Tahoma"/>
      <family val="2"/>
    </font>
    <font>
      <sz val="10"/>
      <color indexed="8"/>
      <name val="Arial"/>
      <family val="2"/>
    </font>
    <font>
      <sz val="9"/>
      <color indexed="10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1"/>
      <color rgb="FF0070C0"/>
      <name val="Calibri"/>
      <family val="2"/>
      <scheme val="minor"/>
    </font>
    <font>
      <b/>
      <i/>
      <sz val="11"/>
      <color rgb="FFC00000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14"/>
      <color rgb="FF00467F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969696"/>
      </top>
      <bottom/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333333"/>
      </bottom>
      <diagonal/>
    </border>
    <border>
      <left/>
      <right/>
      <top/>
      <bottom style="thin">
        <color indexed="63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55"/>
      </top>
      <bottom style="medium">
        <color indexed="8"/>
      </bottom>
      <diagonal/>
    </border>
  </borders>
  <cellStyleXfs count="288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>
      <alignment wrapText="1"/>
    </xf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38" fontId="6" fillId="3" borderId="0" applyNumberFormat="0" applyBorder="0" applyAlignment="0" applyProtection="0"/>
    <xf numFmtId="10" fontId="6" fillId="4" borderId="3" applyNumberFormat="0" applyBorder="0" applyAlignment="0" applyProtection="0"/>
    <xf numFmtId="37" fontId="11" fillId="0" borderId="0"/>
    <xf numFmtId="168" fontId="12" fillId="0" borderId="0"/>
    <xf numFmtId="167" fontId="9" fillId="0" borderId="0"/>
    <xf numFmtId="0" fontId="8" fillId="5" borderId="4"/>
    <xf numFmtId="10" fontId="5" fillId="0" borderId="0" applyFont="0" applyFill="0" applyBorder="0" applyAlignment="0" applyProtection="0"/>
    <xf numFmtId="1" fontId="10" fillId="0" borderId="0" applyBorder="0">
      <alignment horizontal="left" vertical="top" wrapText="1"/>
    </xf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43" fontId="5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" fillId="3" borderId="6" applyNumberFormat="0" applyFont="0" applyBorder="0" applyAlignment="0" applyProtection="0"/>
    <xf numFmtId="0" fontId="14" fillId="6" borderId="5" applyNumberFormat="0" applyFont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11" applyNumberFormat="0" applyAlignment="0" applyProtection="0"/>
    <xf numFmtId="0" fontId="32" fillId="12" borderId="12" applyNumberFormat="0" applyAlignment="0" applyProtection="0"/>
    <xf numFmtId="0" fontId="33" fillId="12" borderId="11" applyNumberFormat="0" applyAlignment="0" applyProtection="0"/>
    <xf numFmtId="0" fontId="34" fillId="0" borderId="13" applyNumberFormat="0" applyFill="0" applyAlignment="0" applyProtection="0"/>
    <xf numFmtId="0" fontId="35" fillId="13" borderId="14" applyNumberFormat="0" applyAlignment="0" applyProtection="0"/>
    <xf numFmtId="0" fontId="18" fillId="0" borderId="0" applyNumberFormat="0" applyFill="0" applyBorder="0" applyAlignment="0" applyProtection="0"/>
    <xf numFmtId="0" fontId="1" fillId="14" borderId="15" applyNumberFormat="0" applyFont="0" applyAlignment="0" applyProtection="0"/>
    <xf numFmtId="0" fontId="36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3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7" fillId="38" borderId="0" applyNumberFormat="0" applyBorder="0" applyAlignment="0" applyProtection="0"/>
    <xf numFmtId="0" fontId="4" fillId="0" borderId="0"/>
    <xf numFmtId="0" fontId="4" fillId="0" borderId="0">
      <alignment vertical="top"/>
    </xf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10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39" fillId="0" borderId="0"/>
    <xf numFmtId="43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24" fillId="0" borderId="0" applyNumberFormat="0" applyFill="0" applyBorder="0" applyAlignment="0" applyProtection="0"/>
    <xf numFmtId="0" fontId="4" fillId="0" borderId="0"/>
    <xf numFmtId="0" fontId="7" fillId="0" borderId="0" applyNumberFormat="0">
      <alignment vertical="center"/>
    </xf>
    <xf numFmtId="0" fontId="14" fillId="0" borderId="17" applyNumberFormat="0" applyFont="0" applyFill="0" applyProtection="0"/>
    <xf numFmtId="0" fontId="7" fillId="0" borderId="0" applyNumberFormat="0">
      <alignment vertical="center"/>
    </xf>
    <xf numFmtId="0" fontId="15" fillId="0" borderId="18" applyNumberFormat="0" applyFont="0" applyFill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Protection="0">
      <alignment horizontal="left"/>
    </xf>
    <xf numFmtId="42" fontId="4" fillId="0" borderId="0" applyFont="0" applyFill="0" applyBorder="0" applyProtection="0">
      <alignment horizontal="left"/>
    </xf>
    <xf numFmtId="42" fontId="4" fillId="0" borderId="0" applyFont="0" applyFill="0" applyBorder="0" applyProtection="0">
      <alignment horizontal="left"/>
    </xf>
    <xf numFmtId="42" fontId="4" fillId="0" borderId="0" applyFont="0" applyFill="0" applyBorder="0" applyProtection="0">
      <alignment horizontal="left"/>
    </xf>
    <xf numFmtId="42" fontId="4" fillId="0" borderId="0" applyFont="0" applyFill="0" applyBorder="0" applyProtection="0">
      <alignment horizontal="left"/>
    </xf>
    <xf numFmtId="44" fontId="4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7" fillId="0" borderId="0" applyNumberFormat="0" applyFont="0" applyBorder="0" applyAlignment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50" fillId="39" borderId="3">
      <alignment horizontal="center" vertical="center"/>
    </xf>
    <xf numFmtId="0" fontId="4" fillId="0" borderId="25" applyNumberFormat="0" applyAlignment="0">
      <alignment vertical="center"/>
    </xf>
    <xf numFmtId="0" fontId="7" fillId="0" borderId="0" applyNumberFormat="0">
      <alignment vertical="center"/>
    </xf>
    <xf numFmtId="0" fontId="4" fillId="0" borderId="0"/>
    <xf numFmtId="0" fontId="4" fillId="0" borderId="0"/>
    <xf numFmtId="0" fontId="1" fillId="0" borderId="0"/>
    <xf numFmtId="0" fontId="51" fillId="0" borderId="0"/>
    <xf numFmtId="0" fontId="46" fillId="0" borderId="0"/>
    <xf numFmtId="0" fontId="1" fillId="0" borderId="0"/>
    <xf numFmtId="0" fontId="46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 applyNumberFormat="0">
      <alignment vertical="center"/>
    </xf>
    <xf numFmtId="0" fontId="7" fillId="0" borderId="0" applyNumberFormat="0">
      <alignment vertical="center"/>
    </xf>
    <xf numFmtId="0" fontId="4" fillId="0" borderId="0" applyBorder="0"/>
    <xf numFmtId="0" fontId="4" fillId="0" borderId="0"/>
    <xf numFmtId="0" fontId="4" fillId="0" borderId="0"/>
    <xf numFmtId="0" fontId="4" fillId="0" borderId="0"/>
    <xf numFmtId="0" fontId="7" fillId="0" borderId="0" applyNumberFormat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 applyNumberFormat="0">
      <alignment vertical="center"/>
    </xf>
    <xf numFmtId="0" fontId="4" fillId="0" borderId="0" applyBorder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 applyNumberFormat="0">
      <alignment vertical="center"/>
    </xf>
    <xf numFmtId="9" fontId="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6" fillId="0" borderId="0" applyFont="0" applyFill="0" applyBorder="0" applyAlignment="0" applyProtection="0"/>
    <xf numFmtId="41" fontId="15" fillId="0" borderId="18" applyNumberFormat="0" applyFont="0" applyFill="0" applyAlignment="0" applyProtection="0">
      <alignment horizontal="right" vertical="center"/>
    </xf>
    <xf numFmtId="0" fontId="54" fillId="0" borderId="24" applyNumberFormat="0" applyFont="0" applyFill="0" applyAlignment="0" applyProtection="0">
      <alignment vertical="center"/>
    </xf>
    <xf numFmtId="0" fontId="51" fillId="0" borderId="0"/>
    <xf numFmtId="0" fontId="55" fillId="0" borderId="0">
      <alignment horizontal="left" wrapText="1"/>
    </xf>
    <xf numFmtId="0" fontId="56" fillId="0" borderId="0">
      <alignment horizontal="left"/>
    </xf>
    <xf numFmtId="171" fontId="54" fillId="0" borderId="0" applyFont="0" applyFill="0" applyBorder="0" applyProtection="0">
      <alignment vertical="center"/>
    </xf>
    <xf numFmtId="0" fontId="1" fillId="0" borderId="0"/>
    <xf numFmtId="9" fontId="1" fillId="0" borderId="0" applyFont="0" applyFill="0" applyBorder="0" applyAlignment="0" applyProtection="0"/>
    <xf numFmtId="167" fontId="9" fillId="0" borderId="0"/>
    <xf numFmtId="0" fontId="13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0" fontId="4" fillId="0" borderId="0"/>
    <xf numFmtId="0" fontId="4" fillId="0" borderId="0"/>
    <xf numFmtId="0" fontId="14" fillId="6" borderId="5" applyNumberFormat="0" applyFont="0" applyBorder="0" applyAlignment="0" applyProtection="0"/>
    <xf numFmtId="0" fontId="4" fillId="0" borderId="0">
      <alignment vertical="top"/>
    </xf>
  </cellStyleXfs>
  <cellXfs count="243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0" xfId="0" applyBorder="1"/>
    <xf numFmtId="0" fontId="0" fillId="0" borderId="1" xfId="0" applyBorder="1" applyAlignment="1">
      <alignment horizontal="right"/>
    </xf>
    <xf numFmtId="164" fontId="0" fillId="0" borderId="1" xfId="1" applyNumberFormat="1" applyFont="1" applyBorder="1"/>
    <xf numFmtId="0" fontId="0" fillId="0" borderId="0" xfId="0" applyAlignment="1">
      <alignment vertical="top"/>
    </xf>
    <xf numFmtId="166" fontId="0" fillId="0" borderId="0" xfId="1" applyNumberFormat="1" applyFont="1"/>
    <xf numFmtId="43" fontId="0" fillId="0" borderId="0" xfId="1" applyNumberFormat="1" applyFont="1"/>
    <xf numFmtId="0" fontId="3" fillId="2" borderId="0" xfId="0" applyFont="1" applyFill="1"/>
    <xf numFmtId="44" fontId="0" fillId="2" borderId="0" xfId="2" applyFont="1" applyFill="1"/>
    <xf numFmtId="3" fontId="0" fillId="2" borderId="0" xfId="0" applyNumberFormat="1" applyFill="1"/>
    <xf numFmtId="169" fontId="17" fillId="0" borderId="0" xfId="18" applyNumberFormat="1" applyFont="1" applyBorder="1" applyAlignment="1">
      <alignment horizontal="right"/>
    </xf>
    <xf numFmtId="170" fontId="17" fillId="0" borderId="0" xfId="18" applyNumberFormat="1" applyFont="1" applyBorder="1" applyAlignment="1">
      <alignment horizontal="right"/>
    </xf>
    <xf numFmtId="170" fontId="17" fillId="0" borderId="1" xfId="18" applyNumberFormat="1" applyFont="1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top" wrapText="1"/>
    </xf>
    <xf numFmtId="0" fontId="19" fillId="2" borderId="0" xfId="0" applyFont="1" applyFill="1"/>
    <xf numFmtId="0" fontId="19" fillId="2" borderId="0" xfId="0" applyFont="1" applyFill="1" applyAlignment="1">
      <alignment horizontal="left"/>
    </xf>
    <xf numFmtId="0" fontId="18" fillId="0" borderId="0" xfId="0" applyFont="1"/>
    <xf numFmtId="0" fontId="0" fillId="0" borderId="0" xfId="0" applyAlignment="1">
      <alignment horizontal="left" vertical="top" wrapText="1"/>
    </xf>
    <xf numFmtId="0" fontId="0" fillId="7" borderId="0" xfId="0" applyFill="1"/>
    <xf numFmtId="0" fontId="0" fillId="0" borderId="0" xfId="0" applyAlignment="1">
      <alignment horizontal="left" vertical="top" wrapText="1"/>
    </xf>
    <xf numFmtId="4" fontId="0" fillId="0" borderId="0" xfId="1" applyNumberFormat="1" applyFont="1"/>
    <xf numFmtId="0" fontId="21" fillId="0" borderId="0" xfId="0" applyFont="1"/>
    <xf numFmtId="166" fontId="0" fillId="0" borderId="0" xfId="3" applyNumberFormat="1" applyFont="1"/>
    <xf numFmtId="0" fontId="0" fillId="0" borderId="2" xfId="0" applyBorder="1" applyAlignment="1">
      <alignment horizontal="right"/>
    </xf>
    <xf numFmtId="43" fontId="0" fillId="0" borderId="2" xfId="1" applyNumberFormat="1" applyFont="1" applyBorder="1"/>
    <xf numFmtId="166" fontId="0" fillId="0" borderId="2" xfId="3" applyNumberFormat="1" applyFont="1" applyBorder="1"/>
    <xf numFmtId="3" fontId="0" fillId="0" borderId="2" xfId="0" applyNumberFormat="1" applyBorder="1"/>
    <xf numFmtId="4" fontId="0" fillId="0" borderId="2" xfId="1" applyNumberFormat="1" applyFont="1" applyBorder="1"/>
    <xf numFmtId="0" fontId="0" fillId="0" borderId="0" xfId="0" applyBorder="1" applyAlignment="1">
      <alignment horizontal="right"/>
    </xf>
    <xf numFmtId="43" fontId="0" fillId="0" borderId="0" xfId="1" applyNumberFormat="1" applyFont="1" applyBorder="1"/>
    <xf numFmtId="166" fontId="0" fillId="0" borderId="0" xfId="3" applyNumberFormat="1" applyFont="1" applyBorder="1"/>
    <xf numFmtId="3" fontId="0" fillId="0" borderId="0" xfId="0" applyNumberFormat="1" applyBorder="1"/>
    <xf numFmtId="4" fontId="0" fillId="0" borderId="0" xfId="1" applyNumberFormat="1" applyFont="1" applyBorder="1"/>
    <xf numFmtId="166" fontId="0" fillId="0" borderId="0" xfId="0" applyNumberFormat="1"/>
    <xf numFmtId="166" fontId="0" fillId="0" borderId="2" xfId="0" applyNumberFormat="1" applyBorder="1"/>
    <xf numFmtId="166" fontId="20" fillId="0" borderId="0" xfId="0" applyNumberFormat="1" applyFont="1"/>
    <xf numFmtId="166" fontId="0" fillId="0" borderId="0" xfId="0" applyNumberFormat="1" applyBorder="1"/>
    <xf numFmtId="0" fontId="20" fillId="0" borderId="0" xfId="0" applyFont="1" applyAlignment="1">
      <alignment horizontal="left"/>
    </xf>
    <xf numFmtId="0" fontId="20" fillId="0" borderId="2" xfId="0" applyFont="1" applyBorder="1" applyAlignment="1">
      <alignment horizontal="left"/>
    </xf>
    <xf numFmtId="166" fontId="20" fillId="0" borderId="2" xfId="0" applyNumberFormat="1" applyFont="1" applyBorder="1"/>
    <xf numFmtId="166" fontId="20" fillId="0" borderId="7" xfId="0" applyNumberFormat="1" applyFont="1" applyBorder="1"/>
    <xf numFmtId="9" fontId="19" fillId="2" borderId="0" xfId="0" applyNumberFormat="1" applyFont="1" applyFill="1" applyAlignment="1">
      <alignment horizontal="left"/>
    </xf>
    <xf numFmtId="0" fontId="22" fillId="0" borderId="0" xfId="0" applyFont="1" applyAlignment="1">
      <alignment horizontal="right" wrapText="1"/>
    </xf>
    <xf numFmtId="2" fontId="0" fillId="2" borderId="0" xfId="0" applyNumberFormat="1" applyFill="1"/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2" borderId="0" xfId="0" applyFill="1" applyAlignment="1">
      <alignment horizontal="right" wrapText="1"/>
    </xf>
    <xf numFmtId="2" fontId="23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vertical="top"/>
    </xf>
    <xf numFmtId="2" fontId="23" fillId="0" borderId="0" xfId="0" applyNumberFormat="1" applyFont="1" applyBorder="1" applyAlignment="1">
      <alignment horizontal="center" wrapText="1"/>
    </xf>
    <xf numFmtId="43" fontId="19" fillId="0" borderId="2" xfId="1" applyNumberFormat="1" applyFont="1" applyBorder="1"/>
    <xf numFmtId="8" fontId="0" fillId="0" borderId="0" xfId="1" applyNumberFormat="1" applyFont="1" applyBorder="1" applyAlignment="1">
      <alignment vertical="top"/>
    </xf>
    <xf numFmtId="0" fontId="0" fillId="0" borderId="0" xfId="0" applyBorder="1" applyAlignment="1">
      <alignment horizontal="right" wrapText="1"/>
    </xf>
    <xf numFmtId="3" fontId="0" fillId="0" borderId="0" xfId="0" applyNumberFormat="1" applyAlignment="1">
      <alignment vertical="top"/>
    </xf>
    <xf numFmtId="0" fontId="0" fillId="0" borderId="0" xfId="0"/>
    <xf numFmtId="165" fontId="0" fillId="0" borderId="0" xfId="1" applyNumberFormat="1" applyFont="1" applyBorder="1" applyAlignment="1">
      <alignment vertical="top"/>
    </xf>
    <xf numFmtId="43" fontId="19" fillId="0" borderId="0" xfId="1" applyNumberFormat="1" applyFont="1"/>
    <xf numFmtId="9" fontId="0" fillId="0" borderId="0" xfId="3" applyFont="1" applyBorder="1" applyAlignment="1">
      <alignment vertical="top"/>
    </xf>
    <xf numFmtId="2" fontId="0" fillId="0" borderId="0" xfId="0" applyNumberFormat="1" applyBorder="1" applyAlignment="1">
      <alignment horizontal="center"/>
    </xf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10" fontId="0" fillId="0" borderId="0" xfId="0" applyNumberFormat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 wrapText="1"/>
    </xf>
    <xf numFmtId="0" fontId="0" fillId="0" borderId="0" xfId="0" applyBorder="1" applyAlignment="1"/>
    <xf numFmtId="0" fontId="0" fillId="0" borderId="0" xfId="0" applyAlignment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 wrapText="1"/>
    </xf>
    <xf numFmtId="0" fontId="40" fillId="0" borderId="0" xfId="0" applyFont="1" applyFill="1"/>
    <xf numFmtId="0" fontId="20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0" xfId="0" applyFont="1" applyFill="1"/>
    <xf numFmtId="0" fontId="42" fillId="0" borderId="0" xfId="0" applyFont="1" applyBorder="1"/>
    <xf numFmtId="0" fontId="0" fillId="0" borderId="0" xfId="0" applyFill="1" applyAlignment="1">
      <alignment horizontal="right"/>
    </xf>
    <xf numFmtId="0" fontId="44" fillId="0" borderId="0" xfId="0" applyFont="1" applyFill="1"/>
    <xf numFmtId="0" fontId="44" fillId="0" borderId="21" xfId="0" applyFont="1" applyFill="1" applyBorder="1"/>
    <xf numFmtId="3" fontId="44" fillId="0" borderId="21" xfId="0" applyNumberFormat="1" applyFont="1" applyFill="1" applyBorder="1"/>
    <xf numFmtId="3" fontId="44" fillId="0" borderId="0" xfId="0" applyNumberFormat="1" applyFont="1" applyFill="1" applyBorder="1"/>
    <xf numFmtId="0" fontId="44" fillId="0" borderId="0" xfId="0" applyFont="1" applyFill="1" applyBorder="1"/>
    <xf numFmtId="0" fontId="41" fillId="0" borderId="0" xfId="0" applyFont="1" applyBorder="1"/>
    <xf numFmtId="0" fontId="41" fillId="0" borderId="0" xfId="0" applyFont="1"/>
    <xf numFmtId="0" fontId="42" fillId="0" borderId="0" xfId="0" applyFont="1"/>
    <xf numFmtId="0" fontId="19" fillId="0" borderId="0" xfId="0" applyFont="1" applyFill="1"/>
    <xf numFmtId="0" fontId="19" fillId="0" borderId="0" xfId="0" applyFont="1" applyFill="1" applyBorder="1"/>
    <xf numFmtId="166" fontId="57" fillId="0" borderId="0" xfId="3" applyNumberFormat="1" applyFont="1" applyFill="1"/>
    <xf numFmtId="9" fontId="57" fillId="0" borderId="0" xfId="3" applyFont="1" applyFill="1" applyBorder="1"/>
    <xf numFmtId="165" fontId="18" fillId="0" borderId="0" xfId="1" applyNumberFormat="1" applyFont="1" applyFill="1" applyBorder="1" applyAlignment="1">
      <alignment vertical="top"/>
    </xf>
    <xf numFmtId="3" fontId="0" fillId="0" borderId="0" xfId="0" applyNumberFormat="1" applyFill="1"/>
    <xf numFmtId="174" fontId="18" fillId="0" borderId="0" xfId="0" applyNumberFormat="1" applyFont="1" applyFill="1" applyBorder="1"/>
    <xf numFmtId="165" fontId="0" fillId="0" borderId="0" xfId="1" applyNumberFormat="1" applyFont="1" applyFill="1" applyAlignment="1">
      <alignment vertical="top"/>
    </xf>
    <xf numFmtId="9" fontId="57" fillId="0" borderId="0" xfId="3" applyFont="1" applyFill="1"/>
    <xf numFmtId="174" fontId="0" fillId="0" borderId="0" xfId="0" applyNumberFormat="1" applyFill="1"/>
    <xf numFmtId="3" fontId="57" fillId="0" borderId="0" xfId="0" applyNumberFormat="1" applyFont="1" applyFill="1"/>
    <xf numFmtId="172" fontId="18" fillId="0" borderId="0" xfId="1" applyNumberFormat="1" applyFont="1" applyFill="1"/>
    <xf numFmtId="172" fontId="18" fillId="0" borderId="0" xfId="1" applyNumberFormat="1" applyFont="1" applyFill="1" applyBorder="1"/>
    <xf numFmtId="173" fontId="0" fillId="0" borderId="0" xfId="0" applyNumberFormat="1"/>
    <xf numFmtId="166" fontId="57" fillId="0" borderId="0" xfId="3" applyNumberFormat="1" applyFont="1" applyFill="1" applyBorder="1"/>
    <xf numFmtId="174" fontId="18" fillId="0" borderId="0" xfId="0" applyNumberFormat="1" applyFont="1" applyFill="1"/>
    <xf numFmtId="172" fontId="1" fillId="0" borderId="0" xfId="1" applyNumberFormat="1" applyFont="1"/>
    <xf numFmtId="9" fontId="0" fillId="0" borderId="0" xfId="3" applyFont="1" applyFill="1" applyAlignment="1">
      <alignment horizontal="right"/>
    </xf>
    <xf numFmtId="9" fontId="19" fillId="0" borderId="0" xfId="3" applyFont="1" applyFill="1"/>
    <xf numFmtId="8" fontId="0" fillId="0" borderId="0" xfId="1" applyNumberFormat="1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Fill="1" applyAlignment="1">
      <alignment vertical="top"/>
    </xf>
    <xf numFmtId="0" fontId="0" fillId="0" borderId="0" xfId="0" applyBorder="1" applyAlignment="1">
      <alignment wrapText="1"/>
    </xf>
    <xf numFmtId="174" fontId="57" fillId="0" borderId="0" xfId="0" applyNumberFormat="1" applyFont="1" applyFill="1"/>
    <xf numFmtId="166" fontId="57" fillId="0" borderId="0" xfId="0" applyNumberFormat="1" applyFont="1" applyFill="1"/>
    <xf numFmtId="0" fontId="0" fillId="0" borderId="0" xfId="0"/>
    <xf numFmtId="3" fontId="0" fillId="0" borderId="0" xfId="0" applyNumberFormat="1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0" xfId="0" applyAlignment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wrapText="1"/>
    </xf>
    <xf numFmtId="9" fontId="0" fillId="0" borderId="0" xfId="3" applyFont="1" applyFill="1"/>
    <xf numFmtId="166" fontId="0" fillId="0" borderId="0" xfId="0" applyNumberFormat="1"/>
    <xf numFmtId="0" fontId="2" fillId="0" borderId="0" xfId="0" applyFont="1" applyAlignment="1">
      <alignment horizontal="centerContinuous"/>
    </xf>
    <xf numFmtId="0" fontId="20" fillId="0" borderId="2" xfId="0" applyFont="1" applyBorder="1"/>
    <xf numFmtId="166" fontId="20" fillId="0" borderId="0" xfId="0" applyNumberFormat="1" applyFont="1"/>
    <xf numFmtId="172" fontId="0" fillId="0" borderId="0" xfId="1" applyNumberFormat="1" applyFont="1"/>
    <xf numFmtId="172" fontId="20" fillId="0" borderId="0" xfId="1" applyNumberFormat="1" applyFont="1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right" wrapText="1"/>
    </xf>
    <xf numFmtId="0" fontId="42" fillId="0" borderId="0" xfId="0" applyFont="1" applyFill="1" applyBorder="1"/>
    <xf numFmtId="0" fontId="41" fillId="0" borderId="0" xfId="0" applyFont="1" applyFill="1" applyBorder="1"/>
    <xf numFmtId="0" fontId="2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20" fillId="0" borderId="0" xfId="0" applyFont="1" applyAlignment="1"/>
    <xf numFmtId="43" fontId="0" fillId="0" borderId="0" xfId="1" applyNumberFormat="1" applyFont="1" applyAlignment="1">
      <alignment horizontal="right"/>
    </xf>
    <xf numFmtId="0" fontId="0" fillId="0" borderId="0" xfId="0" applyFont="1" applyFill="1"/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3" fontId="59" fillId="0" borderId="0" xfId="0" applyNumberFormat="1" applyFont="1" applyFill="1" applyAlignment="1">
      <alignment horizontal="center" vertical="center" wrapText="1"/>
    </xf>
    <xf numFmtId="166" fontId="59" fillId="0" borderId="0" xfId="0" applyNumberFormat="1" applyFont="1" applyFill="1" applyAlignment="1">
      <alignment horizontal="right" vertical="center" wrapText="1"/>
    </xf>
    <xf numFmtId="0" fontId="58" fillId="0" borderId="0" xfId="0" applyFont="1" applyFill="1" applyBorder="1" applyAlignment="1">
      <alignment horizontal="right" vertical="center" textRotation="90"/>
    </xf>
    <xf numFmtId="166" fontId="59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Border="1"/>
    <xf numFmtId="0" fontId="58" fillId="0" borderId="0" xfId="0" applyFont="1" applyBorder="1" applyAlignment="1">
      <alignment horizontal="right" vertical="center" textRotation="90"/>
    </xf>
    <xf numFmtId="166" fontId="59" fillId="0" borderId="0" xfId="0" applyNumberFormat="1" applyFont="1" applyBorder="1" applyAlignment="1">
      <alignment horizontal="right" vertical="center" wrapText="1"/>
    </xf>
    <xf numFmtId="166" fontId="59" fillId="0" borderId="0" xfId="0" applyNumberFormat="1" applyFont="1" applyFill="1" applyBorder="1" applyAlignment="1">
      <alignment horizontal="right" vertical="center" wrapText="1"/>
    </xf>
    <xf numFmtId="166" fontId="6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wrapText="1"/>
    </xf>
    <xf numFmtId="0" fontId="0" fillId="0" borderId="1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3" xfId="0" applyFont="1" applyBorder="1"/>
    <xf numFmtId="3" fontId="0" fillId="0" borderId="0" xfId="0" applyNumberFormat="1" applyFont="1"/>
    <xf numFmtId="0" fontId="0" fillId="0" borderId="19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20" xfId="0" applyFont="1" applyFill="1" applyBorder="1"/>
    <xf numFmtId="0" fontId="0" fillId="0" borderId="0" xfId="0" applyFont="1" applyFill="1" applyAlignment="1">
      <alignment horizontal="center"/>
    </xf>
    <xf numFmtId="3" fontId="19" fillId="0" borderId="0" xfId="0" applyNumberFormat="1" applyFont="1" applyFill="1" applyAlignment="1">
      <alignment vertical="center" wrapText="1"/>
    </xf>
    <xf numFmtId="166" fontId="19" fillId="0" borderId="0" xfId="0" applyNumberFormat="1" applyFont="1" applyFill="1" applyAlignment="1">
      <alignment horizontal="right" vertical="center" wrapText="1"/>
    </xf>
    <xf numFmtId="166" fontId="19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/>
    <xf numFmtId="3" fontId="61" fillId="0" borderId="0" xfId="0" applyNumberFormat="1" applyFont="1" applyFill="1" applyAlignment="1">
      <alignment vertical="center" wrapText="1"/>
    </xf>
    <xf numFmtId="166" fontId="61" fillId="0" borderId="0" xfId="0" applyNumberFormat="1" applyFont="1" applyFill="1" applyAlignment="1">
      <alignment horizontal="right" vertical="center" wrapText="1"/>
    </xf>
    <xf numFmtId="0" fontId="0" fillId="0" borderId="1" xfId="0" applyFont="1" applyFill="1" applyBorder="1"/>
    <xf numFmtId="166" fontId="60" fillId="0" borderId="1" xfId="0" applyNumberFormat="1" applyFont="1" applyFill="1" applyBorder="1" applyAlignment="1">
      <alignment horizontal="right" vertical="center" wrapText="1"/>
    </xf>
    <xf numFmtId="0" fontId="0" fillId="0" borderId="23" xfId="0" applyFont="1" applyFill="1" applyBorder="1"/>
    <xf numFmtId="165" fontId="19" fillId="0" borderId="0" xfId="2" applyNumberFormat="1" applyFont="1" applyFill="1" applyAlignment="1">
      <alignment vertical="top"/>
    </xf>
    <xf numFmtId="165" fontId="19" fillId="0" borderId="0" xfId="2" applyNumberFormat="1" applyFont="1" applyFill="1" applyAlignment="1"/>
    <xf numFmtId="0" fontId="2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Fill="1" applyBorder="1"/>
    <xf numFmtId="0" fontId="21" fillId="0" borderId="0" xfId="0" applyFont="1" applyFill="1"/>
    <xf numFmtId="10" fontId="0" fillId="0" borderId="0" xfId="0" applyNumberFormat="1" applyFill="1"/>
    <xf numFmtId="0" fontId="0" fillId="0" borderId="0" xfId="0" applyFill="1" applyAlignment="1">
      <alignment horizontal="right" wrapText="1"/>
    </xf>
    <xf numFmtId="0" fontId="22" fillId="0" borderId="0" xfId="0" applyFont="1" applyFill="1" applyAlignment="1">
      <alignment horizontal="right" wrapText="1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0" fontId="0" fillId="0" borderId="0" xfId="0" applyFill="1" applyAlignment="1">
      <alignment wrapText="1"/>
    </xf>
    <xf numFmtId="43" fontId="19" fillId="0" borderId="0" xfId="1" applyNumberFormat="1" applyFont="1" applyFill="1"/>
    <xf numFmtId="166" fontId="0" fillId="0" borderId="0" xfId="3" applyNumberFormat="1" applyFont="1" applyFill="1"/>
    <xf numFmtId="4" fontId="0" fillId="0" borderId="0" xfId="1" applyNumberFormat="1" applyFont="1" applyFill="1"/>
    <xf numFmtId="43" fontId="19" fillId="0" borderId="2" xfId="1" applyNumberFormat="1" applyFont="1" applyFill="1" applyBorder="1"/>
    <xf numFmtId="166" fontId="0" fillId="0" borderId="2" xfId="3" applyNumberFormat="1" applyFont="1" applyFill="1" applyBorder="1"/>
    <xf numFmtId="3" fontId="0" fillId="0" borderId="2" xfId="0" applyNumberFormat="1" applyFill="1" applyBorder="1"/>
    <xf numFmtId="4" fontId="0" fillId="0" borderId="2" xfId="1" applyNumberFormat="1" applyFont="1" applyFill="1" applyBorder="1"/>
    <xf numFmtId="43" fontId="0" fillId="0" borderId="0" xfId="1" applyNumberFormat="1" applyFont="1" applyFill="1" applyBorder="1"/>
    <xf numFmtId="166" fontId="0" fillId="0" borderId="0" xfId="3" applyNumberFormat="1" applyFont="1" applyFill="1" applyBorder="1"/>
    <xf numFmtId="3" fontId="0" fillId="0" borderId="0" xfId="0" applyNumberFormat="1" applyFill="1" applyBorder="1"/>
    <xf numFmtId="4" fontId="0" fillId="0" borderId="0" xfId="1" applyNumberFormat="1" applyFont="1" applyFill="1" applyBorder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/>
    <xf numFmtId="166" fontId="0" fillId="0" borderId="2" xfId="0" applyNumberFormat="1" applyFill="1" applyBorder="1"/>
    <xf numFmtId="166" fontId="0" fillId="0" borderId="0" xfId="0" applyNumberFormat="1" applyFill="1" applyBorder="1"/>
    <xf numFmtId="166" fontId="0" fillId="0" borderId="0" xfId="0" applyNumberFormat="1" applyFill="1"/>
    <xf numFmtId="43" fontId="0" fillId="0" borderId="2" xfId="1" applyNumberFormat="1" applyFont="1" applyFill="1" applyBorder="1"/>
    <xf numFmtId="43" fontId="0" fillId="0" borderId="0" xfId="1" applyNumberFormat="1" applyFont="1" applyFill="1"/>
    <xf numFmtId="0" fontId="20" fillId="0" borderId="2" xfId="0" applyFont="1" applyFill="1" applyBorder="1" applyAlignment="1">
      <alignment horizontal="left"/>
    </xf>
    <xf numFmtId="166" fontId="20" fillId="0" borderId="2" xfId="0" applyNumberFormat="1" applyFont="1" applyFill="1" applyBorder="1"/>
    <xf numFmtId="166" fontId="20" fillId="0" borderId="7" xfId="0" applyNumberFormat="1" applyFont="1" applyFill="1" applyBorder="1"/>
    <xf numFmtId="0" fontId="0" fillId="0" borderId="1" xfId="0" applyFill="1" applyBorder="1" applyAlignment="1">
      <alignment horizontal="right"/>
    </xf>
    <xf numFmtId="164" fontId="0" fillId="0" borderId="1" xfId="1" applyNumberFormat="1" applyFont="1" applyFill="1" applyBorder="1"/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 wrapText="1"/>
    </xf>
    <xf numFmtId="0" fontId="62" fillId="0" borderId="0" xfId="0" applyFont="1" applyFill="1" applyAlignment="1">
      <alignment horizontal="centerContinuous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vertical="top" wrapText="1"/>
    </xf>
    <xf numFmtId="2" fontId="23" fillId="0" borderId="0" xfId="0" applyNumberFormat="1" applyFont="1" applyAlignment="1">
      <alignment horizont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Font="1" applyAlignment="1">
      <alignment horizontal="left" wrapText="1"/>
    </xf>
    <xf numFmtId="0" fontId="58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58" fillId="0" borderId="0" xfId="0" applyFont="1" applyBorder="1" applyAlignment="1">
      <alignment horizontal="center"/>
    </xf>
    <xf numFmtId="0" fontId="58" fillId="0" borderId="19" xfId="0" applyFont="1" applyFill="1" applyBorder="1" applyAlignment="1">
      <alignment horizontal="right" vertical="center" textRotation="90"/>
    </xf>
    <xf numFmtId="0" fontId="58" fillId="0" borderId="22" xfId="0" applyFont="1" applyFill="1" applyBorder="1" applyAlignment="1">
      <alignment horizontal="right" vertical="center" textRotation="90"/>
    </xf>
  </cellXfs>
  <cellStyles count="2882">
    <cellStyle name="20% - Accent1" xfId="78" builtinId="30" customBuiltin="1"/>
    <cellStyle name="20% - Accent2" xfId="82" builtinId="34" customBuiltin="1"/>
    <cellStyle name="20% - Accent3" xfId="86" builtinId="38" customBuiltin="1"/>
    <cellStyle name="20% - Accent4" xfId="90" builtinId="42" customBuiltin="1"/>
    <cellStyle name="20% - Accent5" xfId="94" builtinId="46" customBuiltin="1"/>
    <cellStyle name="20% - Accent6" xfId="98" builtinId="50" customBuiltin="1"/>
    <cellStyle name="40% - Accent1" xfId="79" builtinId="31" customBuiltin="1"/>
    <cellStyle name="40% - Accent2" xfId="83" builtinId="35" customBuiltin="1"/>
    <cellStyle name="40% - Accent3" xfId="87" builtinId="39" customBuiltin="1"/>
    <cellStyle name="40% - Accent4" xfId="91" builtinId="43" customBuiltin="1"/>
    <cellStyle name="40% - Accent5" xfId="95" builtinId="47" customBuiltin="1"/>
    <cellStyle name="40% - Accent6" xfId="99" builtinId="51" customBuiltin="1"/>
    <cellStyle name="60% - Accent1" xfId="80" builtinId="32" customBuiltin="1"/>
    <cellStyle name="60% - Accent2" xfId="84" builtinId="36" customBuiltin="1"/>
    <cellStyle name="60% - Accent3" xfId="88" builtinId="40" customBuiltin="1"/>
    <cellStyle name="60% - Accent4" xfId="92" builtinId="44" customBuiltin="1"/>
    <cellStyle name="60% - Accent5" xfId="96" builtinId="48" customBuiltin="1"/>
    <cellStyle name="60% - Accent6" xfId="100" builtinId="52" customBuiltin="1"/>
    <cellStyle name="Accent1" xfId="77" builtinId="29" customBuiltin="1"/>
    <cellStyle name="Accent2" xfId="81" builtinId="33" customBuiltin="1"/>
    <cellStyle name="Accent3" xfId="85" builtinId="37" customBuiltin="1"/>
    <cellStyle name="Accent4" xfId="89" builtinId="41" customBuiltin="1"/>
    <cellStyle name="Accent5" xfId="93" builtinId="45" customBuiltin="1"/>
    <cellStyle name="Accent6" xfId="97" builtinId="49" customBuiltin="1"/>
    <cellStyle name="Bad" xfId="66" builtinId="27" customBuiltin="1"/>
    <cellStyle name="Calculation" xfId="70" builtinId="22" customBuiltin="1"/>
    <cellStyle name="Check Cell" xfId="72" builtinId="23" customBuiltin="1"/>
    <cellStyle name="Comma" xfId="1" builtinId="3"/>
    <cellStyle name="Comma [0] 2" xfId="6"/>
    <cellStyle name="Comma [0] 2 10" xfId="162"/>
    <cellStyle name="Comma [0] 2 11" xfId="163"/>
    <cellStyle name="Comma [0] 2 12" xfId="164"/>
    <cellStyle name="Comma [0] 2 13" xfId="165"/>
    <cellStyle name="Comma [0] 2 14" xfId="166"/>
    <cellStyle name="Comma [0] 2 15" xfId="167"/>
    <cellStyle name="Comma [0] 2 16" xfId="168"/>
    <cellStyle name="Comma [0] 2 17" xfId="169"/>
    <cellStyle name="Comma [0] 2 18" xfId="170"/>
    <cellStyle name="Comma [0] 2 19" xfId="171"/>
    <cellStyle name="Comma [0] 2 2" xfId="7"/>
    <cellStyle name="Comma [0] 2 2 2" xfId="105"/>
    <cellStyle name="Comma [0] 2 20" xfId="172"/>
    <cellStyle name="Comma [0] 2 21" xfId="173"/>
    <cellStyle name="Comma [0] 2 22" xfId="174"/>
    <cellStyle name="Comma [0] 2 23" xfId="175"/>
    <cellStyle name="Comma [0] 2 24" xfId="176"/>
    <cellStyle name="Comma [0] 2 25" xfId="177"/>
    <cellStyle name="Comma [0] 2 26" xfId="178"/>
    <cellStyle name="Comma [0] 2 27" xfId="179"/>
    <cellStyle name="Comma [0] 2 28" xfId="180"/>
    <cellStyle name="Comma [0] 2 29" xfId="181"/>
    <cellStyle name="Comma [0] 2 3" xfId="104"/>
    <cellStyle name="Comma [0] 2 30" xfId="182"/>
    <cellStyle name="Comma [0] 2 31" xfId="183"/>
    <cellStyle name="Comma [0] 2 32" xfId="184"/>
    <cellStyle name="Comma [0] 2 33" xfId="185"/>
    <cellStyle name="Comma [0] 2 34" xfId="186"/>
    <cellStyle name="Comma [0] 2 35" xfId="187"/>
    <cellStyle name="Comma [0] 2 36" xfId="188"/>
    <cellStyle name="Comma [0] 2 37" xfId="189"/>
    <cellStyle name="Comma [0] 2 38" xfId="190"/>
    <cellStyle name="Comma [0] 2 39" xfId="191"/>
    <cellStyle name="Comma [0] 2 4" xfId="192"/>
    <cellStyle name="Comma [0] 2 40" xfId="193"/>
    <cellStyle name="Comma [0] 2 41" xfId="194"/>
    <cellStyle name="Comma [0] 2 42" xfId="195"/>
    <cellStyle name="Comma [0] 2 43" xfId="196"/>
    <cellStyle name="Comma [0] 2 44" xfId="197"/>
    <cellStyle name="Comma [0] 2 45" xfId="198"/>
    <cellStyle name="Comma [0] 2 46" xfId="199"/>
    <cellStyle name="Comma [0] 2 47" xfId="200"/>
    <cellStyle name="Comma [0] 2 48" xfId="201"/>
    <cellStyle name="Comma [0] 2 49" xfId="202"/>
    <cellStyle name="Comma [0] 2 5" xfId="203"/>
    <cellStyle name="Comma [0] 2 50" xfId="204"/>
    <cellStyle name="Comma [0] 2 51" xfId="205"/>
    <cellStyle name="Comma [0] 2 52" xfId="206"/>
    <cellStyle name="Comma [0] 2 53" xfId="207"/>
    <cellStyle name="Comma [0] 2 54" xfId="208"/>
    <cellStyle name="Comma [0] 2 55" xfId="209"/>
    <cellStyle name="Comma [0] 2 56" xfId="210"/>
    <cellStyle name="Comma [0] 2 57" xfId="211"/>
    <cellStyle name="Comma [0] 2 58" xfId="212"/>
    <cellStyle name="Comma [0] 2 59" xfId="213"/>
    <cellStyle name="Comma [0] 2 6" xfId="214"/>
    <cellStyle name="Comma [0] 2 60" xfId="215"/>
    <cellStyle name="Comma [0] 2 61" xfId="216"/>
    <cellStyle name="Comma [0] 2 62" xfId="217"/>
    <cellStyle name="Comma [0] 2 63" xfId="218"/>
    <cellStyle name="Comma [0] 2 7" xfId="219"/>
    <cellStyle name="Comma [0] 2 8" xfId="220"/>
    <cellStyle name="Comma [0] 2 9" xfId="221"/>
    <cellStyle name="Comma 10" xfId="137"/>
    <cellStyle name="Comma 11" xfId="222"/>
    <cellStyle name="Comma 11 10" xfId="223"/>
    <cellStyle name="Comma 11 11" xfId="224"/>
    <cellStyle name="Comma 11 12" xfId="225"/>
    <cellStyle name="Comma 11 13" xfId="226"/>
    <cellStyle name="Comma 11 14" xfId="227"/>
    <cellStyle name="Comma 11 15" xfId="228"/>
    <cellStyle name="Comma 11 16" xfId="229"/>
    <cellStyle name="Comma 11 17" xfId="230"/>
    <cellStyle name="Comma 11 18" xfId="231"/>
    <cellStyle name="Comma 11 19" xfId="232"/>
    <cellStyle name="Comma 11 2" xfId="233"/>
    <cellStyle name="Comma 11 20" xfId="234"/>
    <cellStyle name="Comma 11 21" xfId="235"/>
    <cellStyle name="Comma 11 22" xfId="236"/>
    <cellStyle name="Comma 11 23" xfId="237"/>
    <cellStyle name="Comma 11 24" xfId="238"/>
    <cellStyle name="Comma 11 25" xfId="239"/>
    <cellStyle name="Comma 11 26" xfId="240"/>
    <cellStyle name="Comma 11 27" xfId="241"/>
    <cellStyle name="Comma 11 28" xfId="242"/>
    <cellStyle name="Comma 11 29" xfId="243"/>
    <cellStyle name="Comma 11 3" xfId="244"/>
    <cellStyle name="Comma 11 30" xfId="245"/>
    <cellStyle name="Comma 11 31" xfId="246"/>
    <cellStyle name="Comma 11 32" xfId="247"/>
    <cellStyle name="Comma 11 33" xfId="248"/>
    <cellStyle name="Comma 11 34" xfId="249"/>
    <cellStyle name="Comma 11 35" xfId="250"/>
    <cellStyle name="Comma 11 36" xfId="251"/>
    <cellStyle name="Comma 11 37" xfId="252"/>
    <cellStyle name="Comma 11 38" xfId="253"/>
    <cellStyle name="Comma 11 39" xfId="254"/>
    <cellStyle name="Comma 11 4" xfId="255"/>
    <cellStyle name="Comma 11 40" xfId="256"/>
    <cellStyle name="Comma 11 41" xfId="257"/>
    <cellStyle name="Comma 11 42" xfId="258"/>
    <cellStyle name="Comma 11 43" xfId="259"/>
    <cellStyle name="Comma 11 44" xfId="260"/>
    <cellStyle name="Comma 11 45" xfId="261"/>
    <cellStyle name="Comma 11 46" xfId="262"/>
    <cellStyle name="Comma 11 47" xfId="263"/>
    <cellStyle name="Comma 11 48" xfId="264"/>
    <cellStyle name="Comma 11 49" xfId="265"/>
    <cellStyle name="Comma 11 5" xfId="266"/>
    <cellStyle name="Comma 11 50" xfId="267"/>
    <cellStyle name="Comma 11 51" xfId="268"/>
    <cellStyle name="Comma 11 52" xfId="269"/>
    <cellStyle name="Comma 11 53" xfId="270"/>
    <cellStyle name="Comma 11 54" xfId="271"/>
    <cellStyle name="Comma 11 55" xfId="272"/>
    <cellStyle name="Comma 11 56" xfId="273"/>
    <cellStyle name="Comma 11 57" xfId="274"/>
    <cellStyle name="Comma 11 58" xfId="275"/>
    <cellStyle name="Comma 11 59" xfId="276"/>
    <cellStyle name="Comma 11 6" xfId="277"/>
    <cellStyle name="Comma 11 60" xfId="278"/>
    <cellStyle name="Comma 11 61" xfId="279"/>
    <cellStyle name="Comma 11 62" xfId="280"/>
    <cellStyle name="Comma 11 63" xfId="281"/>
    <cellStyle name="Comma 11 7" xfId="282"/>
    <cellStyle name="Comma 11 8" xfId="283"/>
    <cellStyle name="Comma 11 9" xfId="284"/>
    <cellStyle name="Comma 12" xfId="285"/>
    <cellStyle name="Comma 12 10" xfId="286"/>
    <cellStyle name="Comma 12 11" xfId="287"/>
    <cellStyle name="Comma 12 12" xfId="288"/>
    <cellStyle name="Comma 12 13" xfId="289"/>
    <cellStyle name="Comma 12 14" xfId="290"/>
    <cellStyle name="Comma 12 15" xfId="291"/>
    <cellStyle name="Comma 12 16" xfId="292"/>
    <cellStyle name="Comma 12 17" xfId="293"/>
    <cellStyle name="Comma 12 18" xfId="294"/>
    <cellStyle name="Comma 12 19" xfId="295"/>
    <cellStyle name="Comma 12 2" xfId="296"/>
    <cellStyle name="Comma 12 20" xfId="297"/>
    <cellStyle name="Comma 12 21" xfId="298"/>
    <cellStyle name="Comma 12 22" xfId="299"/>
    <cellStyle name="Comma 12 23" xfId="300"/>
    <cellStyle name="Comma 12 24" xfId="301"/>
    <cellStyle name="Comma 12 25" xfId="302"/>
    <cellStyle name="Comma 12 26" xfId="303"/>
    <cellStyle name="Comma 12 27" xfId="304"/>
    <cellStyle name="Comma 12 28" xfId="305"/>
    <cellStyle name="Comma 12 29" xfId="306"/>
    <cellStyle name="Comma 12 3" xfId="307"/>
    <cellStyle name="Comma 12 30" xfId="308"/>
    <cellStyle name="Comma 12 31" xfId="309"/>
    <cellStyle name="Comma 12 32" xfId="310"/>
    <cellStyle name="Comma 12 33" xfId="311"/>
    <cellStyle name="Comma 12 34" xfId="312"/>
    <cellStyle name="Comma 12 35" xfId="313"/>
    <cellStyle name="Comma 12 36" xfId="314"/>
    <cellStyle name="Comma 12 37" xfId="315"/>
    <cellStyle name="Comma 12 38" xfId="316"/>
    <cellStyle name="Comma 12 39" xfId="317"/>
    <cellStyle name="Comma 12 4" xfId="318"/>
    <cellStyle name="Comma 12 40" xfId="319"/>
    <cellStyle name="Comma 12 41" xfId="320"/>
    <cellStyle name="Comma 12 42" xfId="321"/>
    <cellStyle name="Comma 12 43" xfId="322"/>
    <cellStyle name="Comma 12 44" xfId="323"/>
    <cellStyle name="Comma 12 45" xfId="324"/>
    <cellStyle name="Comma 12 46" xfId="325"/>
    <cellStyle name="Comma 12 47" xfId="326"/>
    <cellStyle name="Comma 12 48" xfId="327"/>
    <cellStyle name="Comma 12 49" xfId="328"/>
    <cellStyle name="Comma 12 5" xfId="329"/>
    <cellStyle name="Comma 12 50" xfId="330"/>
    <cellStyle name="Comma 12 51" xfId="331"/>
    <cellStyle name="Comma 12 52" xfId="332"/>
    <cellStyle name="Comma 12 53" xfId="333"/>
    <cellStyle name="Comma 12 54" xfId="334"/>
    <cellStyle name="Comma 12 55" xfId="335"/>
    <cellStyle name="Comma 12 56" xfId="336"/>
    <cellStyle name="Comma 12 57" xfId="337"/>
    <cellStyle name="Comma 12 58" xfId="338"/>
    <cellStyle name="Comma 12 59" xfId="339"/>
    <cellStyle name="Comma 12 6" xfId="340"/>
    <cellStyle name="Comma 12 60" xfId="341"/>
    <cellStyle name="Comma 12 61" xfId="342"/>
    <cellStyle name="Comma 12 62" xfId="343"/>
    <cellStyle name="Comma 12 63" xfId="344"/>
    <cellStyle name="Comma 12 64" xfId="345"/>
    <cellStyle name="Comma 12 7" xfId="346"/>
    <cellStyle name="Comma 12 8" xfId="347"/>
    <cellStyle name="Comma 12 9" xfId="348"/>
    <cellStyle name="Comma 13" xfId="349"/>
    <cellStyle name="Comma 14" xfId="350"/>
    <cellStyle name="Comma 14 10" xfId="351"/>
    <cellStyle name="Comma 14 11" xfId="352"/>
    <cellStyle name="Comma 14 12" xfId="353"/>
    <cellStyle name="Comma 14 13" xfId="354"/>
    <cellStyle name="Comma 14 14" xfId="355"/>
    <cellStyle name="Comma 14 15" xfId="356"/>
    <cellStyle name="Comma 14 16" xfId="357"/>
    <cellStyle name="Comma 14 17" xfId="358"/>
    <cellStyle name="Comma 14 18" xfId="359"/>
    <cellStyle name="Comma 14 19" xfId="360"/>
    <cellStyle name="Comma 14 2" xfId="361"/>
    <cellStyle name="Comma 14 20" xfId="362"/>
    <cellStyle name="Comma 14 21" xfId="363"/>
    <cellStyle name="Comma 14 22" xfId="364"/>
    <cellStyle name="Comma 14 23" xfId="365"/>
    <cellStyle name="Comma 14 24" xfId="366"/>
    <cellStyle name="Comma 14 25" xfId="367"/>
    <cellStyle name="Comma 14 26" xfId="368"/>
    <cellStyle name="Comma 14 27" xfId="369"/>
    <cellStyle name="Comma 14 28" xfId="370"/>
    <cellStyle name="Comma 14 29" xfId="371"/>
    <cellStyle name="Comma 14 3" xfId="372"/>
    <cellStyle name="Comma 14 30" xfId="373"/>
    <cellStyle name="Comma 14 31" xfId="374"/>
    <cellStyle name="Comma 14 32" xfId="375"/>
    <cellStyle name="Comma 14 33" xfId="376"/>
    <cellStyle name="Comma 14 34" xfId="377"/>
    <cellStyle name="Comma 14 35" xfId="378"/>
    <cellStyle name="Comma 14 36" xfId="379"/>
    <cellStyle name="Comma 14 37" xfId="380"/>
    <cellStyle name="Comma 14 38" xfId="381"/>
    <cellStyle name="Comma 14 39" xfId="382"/>
    <cellStyle name="Comma 14 4" xfId="383"/>
    <cellStyle name="Comma 14 40" xfId="384"/>
    <cellStyle name="Comma 14 41" xfId="385"/>
    <cellStyle name="Comma 14 42" xfId="386"/>
    <cellStyle name="Comma 14 43" xfId="387"/>
    <cellStyle name="Comma 14 44" xfId="388"/>
    <cellStyle name="Comma 14 45" xfId="389"/>
    <cellStyle name="Comma 14 46" xfId="390"/>
    <cellStyle name="Comma 14 47" xfId="391"/>
    <cellStyle name="Comma 14 48" xfId="392"/>
    <cellStyle name="Comma 14 49" xfId="393"/>
    <cellStyle name="Comma 14 5" xfId="394"/>
    <cellStyle name="Comma 14 50" xfId="395"/>
    <cellStyle name="Comma 14 51" xfId="396"/>
    <cellStyle name="Comma 14 52" xfId="397"/>
    <cellStyle name="Comma 14 53" xfId="398"/>
    <cellStyle name="Comma 14 54" xfId="399"/>
    <cellStyle name="Comma 14 55" xfId="400"/>
    <cellStyle name="Comma 14 56" xfId="401"/>
    <cellStyle name="Comma 14 57" xfId="402"/>
    <cellStyle name="Comma 14 58" xfId="403"/>
    <cellStyle name="Comma 14 59" xfId="404"/>
    <cellStyle name="Comma 14 6" xfId="405"/>
    <cellStyle name="Comma 14 60" xfId="406"/>
    <cellStyle name="Comma 14 61" xfId="407"/>
    <cellStyle name="Comma 14 62" xfId="408"/>
    <cellStyle name="Comma 14 63" xfId="409"/>
    <cellStyle name="Comma 14 7" xfId="410"/>
    <cellStyle name="Comma 14 8" xfId="411"/>
    <cellStyle name="Comma 14 9" xfId="412"/>
    <cellStyle name="Comma 15" xfId="413"/>
    <cellStyle name="Comma 15 10" xfId="414"/>
    <cellStyle name="Comma 15 11" xfId="415"/>
    <cellStyle name="Comma 15 12" xfId="416"/>
    <cellStyle name="Comma 15 13" xfId="417"/>
    <cellStyle name="Comma 15 14" xfId="418"/>
    <cellStyle name="Comma 15 15" xfId="419"/>
    <cellStyle name="Comma 15 16" xfId="420"/>
    <cellStyle name="Comma 15 17" xfId="421"/>
    <cellStyle name="Comma 15 18" xfId="422"/>
    <cellStyle name="Comma 15 19" xfId="423"/>
    <cellStyle name="Comma 15 2" xfId="424"/>
    <cellStyle name="Comma 15 20" xfId="425"/>
    <cellStyle name="Comma 15 21" xfId="426"/>
    <cellStyle name="Comma 15 22" xfId="427"/>
    <cellStyle name="Comma 15 23" xfId="428"/>
    <cellStyle name="Comma 15 24" xfId="429"/>
    <cellStyle name="Comma 15 25" xfId="430"/>
    <cellStyle name="Comma 15 26" xfId="431"/>
    <cellStyle name="Comma 15 27" xfId="432"/>
    <cellStyle name="Comma 15 28" xfId="433"/>
    <cellStyle name="Comma 15 29" xfId="434"/>
    <cellStyle name="Comma 15 3" xfId="435"/>
    <cellStyle name="Comma 15 3 10" xfId="436"/>
    <cellStyle name="Comma 15 3 11" xfId="437"/>
    <cellStyle name="Comma 15 3 12" xfId="438"/>
    <cellStyle name="Comma 15 3 13" xfId="439"/>
    <cellStyle name="Comma 15 3 14" xfId="440"/>
    <cellStyle name="Comma 15 3 15" xfId="441"/>
    <cellStyle name="Comma 15 3 16" xfId="442"/>
    <cellStyle name="Comma 15 3 17" xfId="443"/>
    <cellStyle name="Comma 15 3 18" xfId="444"/>
    <cellStyle name="Comma 15 3 19" xfId="445"/>
    <cellStyle name="Comma 15 3 2" xfId="446"/>
    <cellStyle name="Comma 15 3 20" xfId="447"/>
    <cellStyle name="Comma 15 3 21" xfId="448"/>
    <cellStyle name="Comma 15 3 22" xfId="449"/>
    <cellStyle name="Comma 15 3 23" xfId="450"/>
    <cellStyle name="Comma 15 3 24" xfId="451"/>
    <cellStyle name="Comma 15 3 25" xfId="452"/>
    <cellStyle name="Comma 15 3 26" xfId="453"/>
    <cellStyle name="Comma 15 3 3" xfId="454"/>
    <cellStyle name="Comma 15 3 4" xfId="455"/>
    <cellStyle name="Comma 15 3 5" xfId="456"/>
    <cellStyle name="Comma 15 3 6" xfId="457"/>
    <cellStyle name="Comma 15 3 7" xfId="458"/>
    <cellStyle name="Comma 15 3 8" xfId="459"/>
    <cellStyle name="Comma 15 3 9" xfId="460"/>
    <cellStyle name="Comma 15 30" xfId="461"/>
    <cellStyle name="Comma 15 31" xfId="462"/>
    <cellStyle name="Comma 15 32" xfId="463"/>
    <cellStyle name="Comma 15 33" xfId="464"/>
    <cellStyle name="Comma 15 34" xfId="465"/>
    <cellStyle name="Comma 15 35" xfId="466"/>
    <cellStyle name="Comma 15 36" xfId="467"/>
    <cellStyle name="Comma 15 37" xfId="468"/>
    <cellStyle name="Comma 15 38" xfId="469"/>
    <cellStyle name="Comma 15 39" xfId="470"/>
    <cellStyle name="Comma 15 4" xfId="471"/>
    <cellStyle name="Comma 15 40" xfId="472"/>
    <cellStyle name="Comma 15 41" xfId="473"/>
    <cellStyle name="Comma 15 42" xfId="474"/>
    <cellStyle name="Comma 15 43" xfId="475"/>
    <cellStyle name="Comma 15 44" xfId="476"/>
    <cellStyle name="Comma 15 45" xfId="477"/>
    <cellStyle name="Comma 15 46" xfId="478"/>
    <cellStyle name="Comma 15 47" xfId="479"/>
    <cellStyle name="Comma 15 48" xfId="480"/>
    <cellStyle name="Comma 15 49" xfId="481"/>
    <cellStyle name="Comma 15 5" xfId="482"/>
    <cellStyle name="Comma 15 5 10" xfId="483"/>
    <cellStyle name="Comma 15 5 11" xfId="484"/>
    <cellStyle name="Comma 15 5 12" xfId="485"/>
    <cellStyle name="Comma 15 5 13" xfId="486"/>
    <cellStyle name="Comma 15 5 14" xfId="487"/>
    <cellStyle name="Comma 15 5 15" xfId="488"/>
    <cellStyle name="Comma 15 5 16" xfId="489"/>
    <cellStyle name="Comma 15 5 17" xfId="490"/>
    <cellStyle name="Comma 15 5 18" xfId="491"/>
    <cellStyle name="Comma 15 5 19" xfId="492"/>
    <cellStyle name="Comma 15 5 2" xfId="493"/>
    <cellStyle name="Comma 15 5 20" xfId="494"/>
    <cellStyle name="Comma 15 5 21" xfId="495"/>
    <cellStyle name="Comma 15 5 22" xfId="496"/>
    <cellStyle name="Comma 15 5 23" xfId="497"/>
    <cellStyle name="Comma 15 5 24" xfId="498"/>
    <cellStyle name="Comma 15 5 25" xfId="499"/>
    <cellStyle name="Comma 15 5 26" xfId="500"/>
    <cellStyle name="Comma 15 5 27" xfId="501"/>
    <cellStyle name="Comma 15 5 28" xfId="502"/>
    <cellStyle name="Comma 15 5 29" xfId="503"/>
    <cellStyle name="Comma 15 5 3" xfId="504"/>
    <cellStyle name="Comma 15 5 30" xfId="505"/>
    <cellStyle name="Comma 15 5 31" xfId="506"/>
    <cellStyle name="Comma 15 5 32" xfId="507"/>
    <cellStyle name="Comma 15 5 33" xfId="508"/>
    <cellStyle name="Comma 15 5 34" xfId="509"/>
    <cellStyle name="Comma 15 5 35" xfId="510"/>
    <cellStyle name="Comma 15 5 36" xfId="511"/>
    <cellStyle name="Comma 15 5 37" xfId="512"/>
    <cellStyle name="Comma 15 5 38" xfId="513"/>
    <cellStyle name="Comma 15 5 39" xfId="514"/>
    <cellStyle name="Comma 15 5 4" xfId="515"/>
    <cellStyle name="Comma 15 5 40" xfId="516"/>
    <cellStyle name="Comma 15 5 41" xfId="517"/>
    <cellStyle name="Comma 15 5 42" xfId="518"/>
    <cellStyle name="Comma 15 5 43" xfId="519"/>
    <cellStyle name="Comma 15 5 44" xfId="520"/>
    <cellStyle name="Comma 15 5 45" xfId="521"/>
    <cellStyle name="Comma 15 5 46" xfId="522"/>
    <cellStyle name="Comma 15 5 47" xfId="523"/>
    <cellStyle name="Comma 15 5 48" xfId="524"/>
    <cellStyle name="Comma 15 5 49" xfId="525"/>
    <cellStyle name="Comma 15 5 5" xfId="526"/>
    <cellStyle name="Comma 15 5 50" xfId="527"/>
    <cellStyle name="Comma 15 5 51" xfId="528"/>
    <cellStyle name="Comma 15 5 52" xfId="529"/>
    <cellStyle name="Comma 15 5 53" xfId="530"/>
    <cellStyle name="Comma 15 5 54" xfId="531"/>
    <cellStyle name="Comma 15 5 55" xfId="532"/>
    <cellStyle name="Comma 15 5 56" xfId="533"/>
    <cellStyle name="Comma 15 5 57" xfId="534"/>
    <cellStyle name="Comma 15 5 58" xfId="535"/>
    <cellStyle name="Comma 15 5 59" xfId="536"/>
    <cellStyle name="Comma 15 5 6" xfId="537"/>
    <cellStyle name="Comma 15 5 60" xfId="538"/>
    <cellStyle name="Comma 15 5 61" xfId="539"/>
    <cellStyle name="Comma 15 5 62" xfId="540"/>
    <cellStyle name="Comma 15 5 63" xfId="541"/>
    <cellStyle name="Comma 15 5 64" xfId="542"/>
    <cellStyle name="Comma 15 5 65" xfId="543"/>
    <cellStyle name="Comma 15 5 66" xfId="544"/>
    <cellStyle name="Comma 15 5 67" xfId="545"/>
    <cellStyle name="Comma 15 5 68" xfId="546"/>
    <cellStyle name="Comma 15 5 69" xfId="547"/>
    <cellStyle name="Comma 15 5 7" xfId="548"/>
    <cellStyle name="Comma 15 5 70" xfId="549"/>
    <cellStyle name="Comma 15 5 71" xfId="550"/>
    <cellStyle name="Comma 15 5 8" xfId="551"/>
    <cellStyle name="Comma 15 5 9" xfId="552"/>
    <cellStyle name="Comma 15 50" xfId="553"/>
    <cellStyle name="Comma 15 51" xfId="554"/>
    <cellStyle name="Comma 15 52" xfId="555"/>
    <cellStyle name="Comma 15 53" xfId="556"/>
    <cellStyle name="Comma 15 54" xfId="557"/>
    <cellStyle name="Comma 15 55" xfId="558"/>
    <cellStyle name="Comma 15 56" xfId="559"/>
    <cellStyle name="Comma 15 57" xfId="560"/>
    <cellStyle name="Comma 15 58" xfId="561"/>
    <cellStyle name="Comma 15 59" xfId="562"/>
    <cellStyle name="Comma 15 6" xfId="563"/>
    <cellStyle name="Comma 15 60" xfId="564"/>
    <cellStyle name="Comma 15 60 2" xfId="565"/>
    <cellStyle name="Comma 15 60 3" xfId="566"/>
    <cellStyle name="Comma 15 60 3 2" xfId="567"/>
    <cellStyle name="Comma 15 61" xfId="568"/>
    <cellStyle name="Comma 15 62" xfId="569"/>
    <cellStyle name="Comma 15 63" xfId="570"/>
    <cellStyle name="Comma 15 64" xfId="571"/>
    <cellStyle name="Comma 15 65" xfId="572"/>
    <cellStyle name="Comma 15 66" xfId="573"/>
    <cellStyle name="Comma 15 67" xfId="574"/>
    <cellStyle name="Comma 15 68" xfId="575"/>
    <cellStyle name="Comma 15 69" xfId="576"/>
    <cellStyle name="Comma 15 7" xfId="577"/>
    <cellStyle name="Comma 15 70" xfId="578"/>
    <cellStyle name="Comma 15 71" xfId="579"/>
    <cellStyle name="Comma 15 72" xfId="580"/>
    <cellStyle name="Comma 15 73" xfId="581"/>
    <cellStyle name="Comma 15 74" xfId="582"/>
    <cellStyle name="Comma 15 8" xfId="583"/>
    <cellStyle name="Comma 15 9" xfId="584"/>
    <cellStyle name="Comma 16" xfId="585"/>
    <cellStyle name="Comma 17" xfId="586"/>
    <cellStyle name="Comma 18" xfId="587"/>
    <cellStyle name="Comma 19" xfId="588"/>
    <cellStyle name="Comma 2" xfId="8"/>
    <cellStyle name="Comma 2 2" xfId="9"/>
    <cellStyle name="Comma 2 2 2" xfId="10"/>
    <cellStyle name="Comma 2 2 2 2" xfId="108"/>
    <cellStyle name="Comma 2 2 3" xfId="107"/>
    <cellStyle name="Comma 2 3" xfId="11"/>
    <cellStyle name="Comma 2 3 2" xfId="109"/>
    <cellStyle name="Comma 2 4" xfId="106"/>
    <cellStyle name="Comma 2 5" xfId="589"/>
    <cellStyle name="Comma 2 56" xfId="590"/>
    <cellStyle name="Comma 20" xfId="591"/>
    <cellStyle name="Comma 21" xfId="592"/>
    <cellStyle name="Comma 22" xfId="593"/>
    <cellStyle name="Comma 23" xfId="594"/>
    <cellStyle name="Comma 24" xfId="595"/>
    <cellStyle name="Comma 25" xfId="596"/>
    <cellStyle name="Comma 26" xfId="597"/>
    <cellStyle name="Comma 27" xfId="598"/>
    <cellStyle name="Comma 28" xfId="599"/>
    <cellStyle name="Comma 29" xfId="600"/>
    <cellStyle name="Comma 3" xfId="5"/>
    <cellStyle name="Comma 3 10" xfId="601"/>
    <cellStyle name="Comma 3 11" xfId="602"/>
    <cellStyle name="Comma 3 12" xfId="603"/>
    <cellStyle name="Comma 3 13" xfId="604"/>
    <cellStyle name="Comma 3 14" xfId="605"/>
    <cellStyle name="Comma 3 15" xfId="606"/>
    <cellStyle name="Comma 3 16" xfId="607"/>
    <cellStyle name="Comma 3 17" xfId="608"/>
    <cellStyle name="Comma 3 18" xfId="609"/>
    <cellStyle name="Comma 3 19" xfId="610"/>
    <cellStyle name="Comma 3 2" xfId="103"/>
    <cellStyle name="Comma 3 20" xfId="611"/>
    <cellStyle name="Comma 3 21" xfId="612"/>
    <cellStyle name="Comma 3 22" xfId="613"/>
    <cellStyle name="Comma 3 23" xfId="614"/>
    <cellStyle name="Comma 3 24" xfId="615"/>
    <cellStyle name="Comma 3 25" xfId="616"/>
    <cellStyle name="Comma 3 26" xfId="617"/>
    <cellStyle name="Comma 3 27" xfId="618"/>
    <cellStyle name="Comma 3 28" xfId="619"/>
    <cellStyle name="Comma 3 29" xfId="620"/>
    <cellStyle name="Comma 3 3" xfId="621"/>
    <cellStyle name="Comma 3 30" xfId="622"/>
    <cellStyle name="Comma 3 31" xfId="623"/>
    <cellStyle name="Comma 3 32" xfId="624"/>
    <cellStyle name="Comma 3 33" xfId="625"/>
    <cellStyle name="Comma 3 34" xfId="626"/>
    <cellStyle name="Comma 3 35" xfId="627"/>
    <cellStyle name="Comma 3 36" xfId="628"/>
    <cellStyle name="Comma 3 37" xfId="629"/>
    <cellStyle name="Comma 3 38" xfId="630"/>
    <cellStyle name="Comma 3 39" xfId="631"/>
    <cellStyle name="Comma 3 4" xfId="632"/>
    <cellStyle name="Comma 3 40" xfId="633"/>
    <cellStyle name="Comma 3 41" xfId="634"/>
    <cellStyle name="Comma 3 42" xfId="635"/>
    <cellStyle name="Comma 3 43" xfId="636"/>
    <cellStyle name="Comma 3 44" xfId="637"/>
    <cellStyle name="Comma 3 45" xfId="638"/>
    <cellStyle name="Comma 3 46" xfId="639"/>
    <cellStyle name="Comma 3 47" xfId="640"/>
    <cellStyle name="Comma 3 48" xfId="641"/>
    <cellStyle name="Comma 3 49" xfId="642"/>
    <cellStyle name="Comma 3 5" xfId="643"/>
    <cellStyle name="Comma 3 50" xfId="644"/>
    <cellStyle name="Comma 3 51" xfId="645"/>
    <cellStyle name="Comma 3 52" xfId="646"/>
    <cellStyle name="Comma 3 53" xfId="647"/>
    <cellStyle name="Comma 3 54" xfId="648"/>
    <cellStyle name="Comma 3 55" xfId="649"/>
    <cellStyle name="Comma 3 56" xfId="650"/>
    <cellStyle name="Comma 3 57" xfId="651"/>
    <cellStyle name="Comma 3 58" xfId="652"/>
    <cellStyle name="Comma 3 59" xfId="653"/>
    <cellStyle name="Comma 3 6" xfId="654"/>
    <cellStyle name="Comma 3 60" xfId="655"/>
    <cellStyle name="Comma 3 61" xfId="656"/>
    <cellStyle name="Comma 3 62" xfId="657"/>
    <cellStyle name="Comma 3 63" xfId="658"/>
    <cellStyle name="Comma 3 64" xfId="659"/>
    <cellStyle name="Comma 3 7" xfId="660"/>
    <cellStyle name="Comma 3 8" xfId="661"/>
    <cellStyle name="Comma 3 9" xfId="662"/>
    <cellStyle name="Comma 30" xfId="663"/>
    <cellStyle name="Comma 31" xfId="664"/>
    <cellStyle name="Comma 32" xfId="665"/>
    <cellStyle name="Comma 33" xfId="666"/>
    <cellStyle name="Comma 34" xfId="667"/>
    <cellStyle name="Comma 35" xfId="668"/>
    <cellStyle name="Comma 36" xfId="669"/>
    <cellStyle name="Comma 37" xfId="670"/>
    <cellStyle name="Comma 4" xfId="47"/>
    <cellStyle name="Comma 4 10" xfId="671"/>
    <cellStyle name="Comma 4 11" xfId="672"/>
    <cellStyle name="Comma 4 12" xfId="673"/>
    <cellStyle name="Comma 4 13" xfId="674"/>
    <cellStyle name="Comma 4 14" xfId="675"/>
    <cellStyle name="Comma 4 15" xfId="676"/>
    <cellStyle name="Comma 4 16" xfId="677"/>
    <cellStyle name="Comma 4 17" xfId="678"/>
    <cellStyle name="Comma 4 18" xfId="679"/>
    <cellStyle name="Comma 4 19" xfId="680"/>
    <cellStyle name="Comma 4 2" xfId="132"/>
    <cellStyle name="Comma 4 2 2" xfId="156"/>
    <cellStyle name="Comma 4 20" xfId="681"/>
    <cellStyle name="Comma 4 21" xfId="682"/>
    <cellStyle name="Comma 4 22" xfId="683"/>
    <cellStyle name="Comma 4 23" xfId="684"/>
    <cellStyle name="Comma 4 24" xfId="685"/>
    <cellStyle name="Comma 4 25" xfId="686"/>
    <cellStyle name="Comma 4 26" xfId="687"/>
    <cellStyle name="Comma 4 27" xfId="688"/>
    <cellStyle name="Comma 4 28" xfId="689"/>
    <cellStyle name="Comma 4 29" xfId="690"/>
    <cellStyle name="Comma 4 3" xfId="691"/>
    <cellStyle name="Comma 4 30" xfId="692"/>
    <cellStyle name="Comma 4 31" xfId="693"/>
    <cellStyle name="Comma 4 32" xfId="694"/>
    <cellStyle name="Comma 4 33" xfId="695"/>
    <cellStyle name="Comma 4 34" xfId="696"/>
    <cellStyle name="Comma 4 35" xfId="697"/>
    <cellStyle name="Comma 4 36" xfId="698"/>
    <cellStyle name="Comma 4 37" xfId="699"/>
    <cellStyle name="Comma 4 38" xfId="700"/>
    <cellStyle name="Comma 4 39" xfId="701"/>
    <cellStyle name="Comma 4 4" xfId="702"/>
    <cellStyle name="Comma 4 40" xfId="703"/>
    <cellStyle name="Comma 4 41" xfId="704"/>
    <cellStyle name="Comma 4 42" xfId="705"/>
    <cellStyle name="Comma 4 43" xfId="706"/>
    <cellStyle name="Comma 4 44" xfId="707"/>
    <cellStyle name="Comma 4 45" xfId="708"/>
    <cellStyle name="Comma 4 46" xfId="709"/>
    <cellStyle name="Comma 4 47" xfId="710"/>
    <cellStyle name="Comma 4 48" xfId="711"/>
    <cellStyle name="Comma 4 49" xfId="712"/>
    <cellStyle name="Comma 4 5" xfId="713"/>
    <cellStyle name="Comma 4 50" xfId="714"/>
    <cellStyle name="Comma 4 51" xfId="715"/>
    <cellStyle name="Comma 4 52" xfId="716"/>
    <cellStyle name="Comma 4 53" xfId="717"/>
    <cellStyle name="Comma 4 54" xfId="718"/>
    <cellStyle name="Comma 4 55" xfId="719"/>
    <cellStyle name="Comma 4 56" xfId="720"/>
    <cellStyle name="Comma 4 57" xfId="721"/>
    <cellStyle name="Comma 4 58" xfId="722"/>
    <cellStyle name="Comma 4 59" xfId="723"/>
    <cellStyle name="Comma 4 6" xfId="724"/>
    <cellStyle name="Comma 4 60" xfId="725"/>
    <cellStyle name="Comma 4 61" xfId="726"/>
    <cellStyle name="Comma 4 62" xfId="727"/>
    <cellStyle name="Comma 4 63" xfId="728"/>
    <cellStyle name="Comma 4 64" xfId="2874"/>
    <cellStyle name="Comma 4 65" xfId="152"/>
    <cellStyle name="Comma 4 7" xfId="729"/>
    <cellStyle name="Comma 4 8" xfId="730"/>
    <cellStyle name="Comma 4 9" xfId="731"/>
    <cellStyle name="Comma 5" xfId="56"/>
    <cellStyle name="Comma 5 10" xfId="732"/>
    <cellStyle name="Comma 5 11" xfId="733"/>
    <cellStyle name="Comma 5 12" xfId="734"/>
    <cellStyle name="Comma 5 13" xfId="735"/>
    <cellStyle name="Comma 5 14" xfId="736"/>
    <cellStyle name="Comma 5 15" xfId="737"/>
    <cellStyle name="Comma 5 16" xfId="738"/>
    <cellStyle name="Comma 5 17" xfId="739"/>
    <cellStyle name="Comma 5 18" xfId="740"/>
    <cellStyle name="Comma 5 19" xfId="741"/>
    <cellStyle name="Comma 5 2" xfId="145"/>
    <cellStyle name="Comma 5 20" xfId="742"/>
    <cellStyle name="Comma 5 21" xfId="743"/>
    <cellStyle name="Comma 5 22" xfId="744"/>
    <cellStyle name="Comma 5 23" xfId="745"/>
    <cellStyle name="Comma 5 24" xfId="746"/>
    <cellStyle name="Comma 5 25" xfId="747"/>
    <cellStyle name="Comma 5 26" xfId="748"/>
    <cellStyle name="Comma 5 27" xfId="749"/>
    <cellStyle name="Comma 5 28" xfId="750"/>
    <cellStyle name="Comma 5 29" xfId="751"/>
    <cellStyle name="Comma 5 3" xfId="752"/>
    <cellStyle name="Comma 5 30" xfId="753"/>
    <cellStyle name="Comma 5 31" xfId="754"/>
    <cellStyle name="Comma 5 32" xfId="755"/>
    <cellStyle name="Comma 5 33" xfId="756"/>
    <cellStyle name="Comma 5 34" xfId="757"/>
    <cellStyle name="Comma 5 35" xfId="758"/>
    <cellStyle name="Comma 5 36" xfId="759"/>
    <cellStyle name="Comma 5 37" xfId="760"/>
    <cellStyle name="Comma 5 38" xfId="761"/>
    <cellStyle name="Comma 5 39" xfId="762"/>
    <cellStyle name="Comma 5 4" xfId="763"/>
    <cellStyle name="Comma 5 40" xfId="764"/>
    <cellStyle name="Comma 5 41" xfId="765"/>
    <cellStyle name="Comma 5 42" xfId="766"/>
    <cellStyle name="Comma 5 43" xfId="767"/>
    <cellStyle name="Comma 5 44" xfId="768"/>
    <cellStyle name="Comma 5 45" xfId="769"/>
    <cellStyle name="Comma 5 46" xfId="770"/>
    <cellStyle name="Comma 5 47" xfId="771"/>
    <cellStyle name="Comma 5 48" xfId="772"/>
    <cellStyle name="Comma 5 49" xfId="773"/>
    <cellStyle name="Comma 5 5" xfId="774"/>
    <cellStyle name="Comma 5 50" xfId="775"/>
    <cellStyle name="Comma 5 51" xfId="776"/>
    <cellStyle name="Comma 5 52" xfId="777"/>
    <cellStyle name="Comma 5 53" xfId="778"/>
    <cellStyle name="Comma 5 54" xfId="779"/>
    <cellStyle name="Comma 5 55" xfId="780"/>
    <cellStyle name="Comma 5 56" xfId="781"/>
    <cellStyle name="Comma 5 57" xfId="782"/>
    <cellStyle name="Comma 5 58" xfId="783"/>
    <cellStyle name="Comma 5 59" xfId="784"/>
    <cellStyle name="Comma 5 6" xfId="785"/>
    <cellStyle name="Comma 5 60" xfId="786"/>
    <cellStyle name="Comma 5 61" xfId="787"/>
    <cellStyle name="Comma 5 62" xfId="788"/>
    <cellStyle name="Comma 5 63" xfId="789"/>
    <cellStyle name="Comma 5 7" xfId="790"/>
    <cellStyle name="Comma 5 8" xfId="791"/>
    <cellStyle name="Comma 5 9" xfId="792"/>
    <cellStyle name="Comma 6" xfId="49"/>
    <cellStyle name="Comma 6 10" xfId="793"/>
    <cellStyle name="Comma 6 11" xfId="794"/>
    <cellStyle name="Comma 6 12" xfId="795"/>
    <cellStyle name="Comma 6 13" xfId="796"/>
    <cellStyle name="Comma 6 14" xfId="797"/>
    <cellStyle name="Comma 6 15" xfId="798"/>
    <cellStyle name="Comma 6 16" xfId="799"/>
    <cellStyle name="Comma 6 17" xfId="800"/>
    <cellStyle name="Comma 6 18" xfId="801"/>
    <cellStyle name="Comma 6 19" xfId="802"/>
    <cellStyle name="Comma 6 2" xfId="146"/>
    <cellStyle name="Comma 6 20" xfId="803"/>
    <cellStyle name="Comma 6 21" xfId="804"/>
    <cellStyle name="Comma 6 22" xfId="805"/>
    <cellStyle name="Comma 6 23" xfId="806"/>
    <cellStyle name="Comma 6 24" xfId="807"/>
    <cellStyle name="Comma 6 25" xfId="808"/>
    <cellStyle name="Comma 6 26" xfId="809"/>
    <cellStyle name="Comma 6 27" xfId="810"/>
    <cellStyle name="Comma 6 28" xfId="811"/>
    <cellStyle name="Comma 6 29" xfId="812"/>
    <cellStyle name="Comma 6 3" xfId="813"/>
    <cellStyle name="Comma 6 30" xfId="814"/>
    <cellStyle name="Comma 6 31" xfId="815"/>
    <cellStyle name="Comma 6 32" xfId="816"/>
    <cellStyle name="Comma 6 33" xfId="817"/>
    <cellStyle name="Comma 6 34" xfId="818"/>
    <cellStyle name="Comma 6 35" xfId="819"/>
    <cellStyle name="Comma 6 36" xfId="820"/>
    <cellStyle name="Comma 6 37" xfId="821"/>
    <cellStyle name="Comma 6 38" xfId="822"/>
    <cellStyle name="Comma 6 39" xfId="823"/>
    <cellStyle name="Comma 6 4" xfId="824"/>
    <cellStyle name="Comma 6 40" xfId="825"/>
    <cellStyle name="Comma 6 41" xfId="826"/>
    <cellStyle name="Comma 6 42" xfId="827"/>
    <cellStyle name="Comma 6 43" xfId="828"/>
    <cellStyle name="Comma 6 44" xfId="829"/>
    <cellStyle name="Comma 6 45" xfId="830"/>
    <cellStyle name="Comma 6 46" xfId="831"/>
    <cellStyle name="Comma 6 47" xfId="832"/>
    <cellStyle name="Comma 6 48" xfId="833"/>
    <cellStyle name="Comma 6 49" xfId="834"/>
    <cellStyle name="Comma 6 5" xfId="835"/>
    <cellStyle name="Comma 6 50" xfId="836"/>
    <cellStyle name="Comma 6 51" xfId="837"/>
    <cellStyle name="Comma 6 52" xfId="838"/>
    <cellStyle name="Comma 6 53" xfId="839"/>
    <cellStyle name="Comma 6 54" xfId="840"/>
    <cellStyle name="Comma 6 55" xfId="841"/>
    <cellStyle name="Comma 6 56" xfId="842"/>
    <cellStyle name="Comma 6 57" xfId="843"/>
    <cellStyle name="Comma 6 58" xfId="844"/>
    <cellStyle name="Comma 6 59" xfId="845"/>
    <cellStyle name="Comma 6 6" xfId="846"/>
    <cellStyle name="Comma 6 60" xfId="847"/>
    <cellStyle name="Comma 6 61" xfId="848"/>
    <cellStyle name="Comma 6 62" xfId="849"/>
    <cellStyle name="Comma 6 63" xfId="850"/>
    <cellStyle name="Comma 6 7" xfId="851"/>
    <cellStyle name="Comma 6 8" xfId="852"/>
    <cellStyle name="Comma 6 9" xfId="853"/>
    <cellStyle name="Comma 7" xfId="854"/>
    <cellStyle name="Comma 7 10" xfId="855"/>
    <cellStyle name="Comma 7 11" xfId="856"/>
    <cellStyle name="Comma 7 12" xfId="857"/>
    <cellStyle name="Comma 7 13" xfId="858"/>
    <cellStyle name="Comma 7 14" xfId="859"/>
    <cellStyle name="Comma 7 15" xfId="860"/>
    <cellStyle name="Comma 7 16" xfId="861"/>
    <cellStyle name="Comma 7 17" xfId="862"/>
    <cellStyle name="Comma 7 18" xfId="863"/>
    <cellStyle name="Comma 7 19" xfId="864"/>
    <cellStyle name="Comma 7 2" xfId="865"/>
    <cellStyle name="Comma 7 20" xfId="866"/>
    <cellStyle name="Comma 7 21" xfId="867"/>
    <cellStyle name="Comma 7 22" xfId="868"/>
    <cellStyle name="Comma 7 23" xfId="869"/>
    <cellStyle name="Comma 7 24" xfId="870"/>
    <cellStyle name="Comma 7 25" xfId="871"/>
    <cellStyle name="Comma 7 26" xfId="872"/>
    <cellStyle name="Comma 7 27" xfId="873"/>
    <cellStyle name="Comma 7 28" xfId="874"/>
    <cellStyle name="Comma 7 29" xfId="875"/>
    <cellStyle name="Comma 7 3" xfId="876"/>
    <cellStyle name="Comma 7 30" xfId="877"/>
    <cellStyle name="Comma 7 31" xfId="878"/>
    <cellStyle name="Comma 7 32" xfId="879"/>
    <cellStyle name="Comma 7 33" xfId="880"/>
    <cellStyle name="Comma 7 34" xfId="881"/>
    <cellStyle name="Comma 7 35" xfId="882"/>
    <cellStyle name="Comma 7 36" xfId="883"/>
    <cellStyle name="Comma 7 37" xfId="884"/>
    <cellStyle name="Comma 7 38" xfId="885"/>
    <cellStyle name="Comma 7 39" xfId="886"/>
    <cellStyle name="Comma 7 4" xfId="887"/>
    <cellStyle name="Comma 7 40" xfId="888"/>
    <cellStyle name="Comma 7 41" xfId="889"/>
    <cellStyle name="Comma 7 42" xfId="890"/>
    <cellStyle name="Comma 7 43" xfId="891"/>
    <cellStyle name="Comma 7 44" xfId="892"/>
    <cellStyle name="Comma 7 45" xfId="893"/>
    <cellStyle name="Comma 7 46" xfId="894"/>
    <cellStyle name="Comma 7 47" xfId="895"/>
    <cellStyle name="Comma 7 48" xfId="896"/>
    <cellStyle name="Comma 7 49" xfId="897"/>
    <cellStyle name="Comma 7 5" xfId="898"/>
    <cellStyle name="Comma 7 50" xfId="899"/>
    <cellStyle name="Comma 7 51" xfId="900"/>
    <cellStyle name="Comma 7 52" xfId="901"/>
    <cellStyle name="Comma 7 53" xfId="902"/>
    <cellStyle name="Comma 7 54" xfId="903"/>
    <cellStyle name="Comma 7 55" xfId="904"/>
    <cellStyle name="Comma 7 56" xfId="905"/>
    <cellStyle name="Comma 7 57" xfId="906"/>
    <cellStyle name="Comma 7 58" xfId="907"/>
    <cellStyle name="Comma 7 59" xfId="908"/>
    <cellStyle name="Comma 7 6" xfId="909"/>
    <cellStyle name="Comma 7 60" xfId="910"/>
    <cellStyle name="Comma 7 61" xfId="911"/>
    <cellStyle name="Comma 7 62" xfId="912"/>
    <cellStyle name="Comma 7 63" xfId="913"/>
    <cellStyle name="Comma 7 7" xfId="914"/>
    <cellStyle name="Comma 7 8" xfId="915"/>
    <cellStyle name="Comma 7 9" xfId="916"/>
    <cellStyle name="Comma 8" xfId="917"/>
    <cellStyle name="Comma 8 10" xfId="918"/>
    <cellStyle name="Comma 8 11" xfId="919"/>
    <cellStyle name="Comma 8 12" xfId="920"/>
    <cellStyle name="Comma 8 13" xfId="921"/>
    <cellStyle name="Comma 8 14" xfId="922"/>
    <cellStyle name="Comma 8 15" xfId="923"/>
    <cellStyle name="Comma 8 16" xfId="924"/>
    <cellStyle name="Comma 8 17" xfId="925"/>
    <cellStyle name="Comma 8 18" xfId="926"/>
    <cellStyle name="Comma 8 19" xfId="927"/>
    <cellStyle name="Comma 8 2" xfId="928"/>
    <cellStyle name="Comma 8 20" xfId="929"/>
    <cellStyle name="Comma 8 21" xfId="930"/>
    <cellStyle name="Comma 8 22" xfId="931"/>
    <cellStyle name="Comma 8 23" xfId="932"/>
    <cellStyle name="Comma 8 24" xfId="933"/>
    <cellStyle name="Comma 8 25" xfId="934"/>
    <cellStyle name="Comma 8 26" xfId="935"/>
    <cellStyle name="Comma 8 27" xfId="936"/>
    <cellStyle name="Comma 8 28" xfId="937"/>
    <cellStyle name="Comma 8 29" xfId="938"/>
    <cellStyle name="Comma 8 3" xfId="939"/>
    <cellStyle name="Comma 8 30" xfId="940"/>
    <cellStyle name="Comma 8 31" xfId="941"/>
    <cellStyle name="Comma 8 32" xfId="942"/>
    <cellStyle name="Comma 8 33" xfId="943"/>
    <cellStyle name="Comma 8 34" xfId="944"/>
    <cellStyle name="Comma 8 35" xfId="945"/>
    <cellStyle name="Comma 8 36" xfId="946"/>
    <cellStyle name="Comma 8 37" xfId="947"/>
    <cellStyle name="Comma 8 38" xfId="948"/>
    <cellStyle name="Comma 8 39" xfId="949"/>
    <cellStyle name="Comma 8 4" xfId="950"/>
    <cellStyle name="Comma 8 40" xfId="951"/>
    <cellStyle name="Comma 8 41" xfId="952"/>
    <cellStyle name="Comma 8 42" xfId="953"/>
    <cellStyle name="Comma 8 43" xfId="954"/>
    <cellStyle name="Comma 8 44" xfId="955"/>
    <cellStyle name="Comma 8 45" xfId="956"/>
    <cellStyle name="Comma 8 46" xfId="957"/>
    <cellStyle name="Comma 8 47" xfId="958"/>
    <cellStyle name="Comma 8 48" xfId="959"/>
    <cellStyle name="Comma 8 49" xfId="960"/>
    <cellStyle name="Comma 8 5" xfId="961"/>
    <cellStyle name="Comma 8 50" xfId="962"/>
    <cellStyle name="Comma 8 51" xfId="963"/>
    <cellStyle name="Comma 8 52" xfId="964"/>
    <cellStyle name="Comma 8 53" xfId="965"/>
    <cellStyle name="Comma 8 54" xfId="966"/>
    <cellStyle name="Comma 8 55" xfId="967"/>
    <cellStyle name="Comma 8 56" xfId="968"/>
    <cellStyle name="Comma 8 57" xfId="969"/>
    <cellStyle name="Comma 8 58" xfId="970"/>
    <cellStyle name="Comma 8 59" xfId="971"/>
    <cellStyle name="Comma 8 6" xfId="972"/>
    <cellStyle name="Comma 8 60" xfId="973"/>
    <cellStyle name="Comma 8 61" xfId="974"/>
    <cellStyle name="Comma 8 62" xfId="975"/>
    <cellStyle name="Comma 8 63" xfId="976"/>
    <cellStyle name="Comma 8 7" xfId="977"/>
    <cellStyle name="Comma 8 8" xfId="978"/>
    <cellStyle name="Comma 8 9" xfId="979"/>
    <cellStyle name="Comma 9" xfId="980"/>
    <cellStyle name="Comma 9 10" xfId="981"/>
    <cellStyle name="Comma 9 11" xfId="982"/>
    <cellStyle name="Comma 9 12" xfId="983"/>
    <cellStyle name="Comma 9 13" xfId="984"/>
    <cellStyle name="Comma 9 14" xfId="985"/>
    <cellStyle name="Comma 9 15" xfId="986"/>
    <cellStyle name="Comma 9 16" xfId="987"/>
    <cellStyle name="Comma 9 17" xfId="988"/>
    <cellStyle name="Comma 9 18" xfId="989"/>
    <cellStyle name="Comma 9 19" xfId="990"/>
    <cellStyle name="Comma 9 2" xfId="991"/>
    <cellStyle name="Comma 9 20" xfId="992"/>
    <cellStyle name="Comma 9 21" xfId="993"/>
    <cellStyle name="Comma 9 22" xfId="994"/>
    <cellStyle name="Comma 9 23" xfId="995"/>
    <cellStyle name="Comma 9 24" xfId="996"/>
    <cellStyle name="Comma 9 25" xfId="997"/>
    <cellStyle name="Comma 9 26" xfId="998"/>
    <cellStyle name="Comma 9 27" xfId="999"/>
    <cellStyle name="Comma 9 28" xfId="1000"/>
    <cellStyle name="Comma 9 29" xfId="1001"/>
    <cellStyle name="Comma 9 3" xfId="1002"/>
    <cellStyle name="Comma 9 30" xfId="1003"/>
    <cellStyle name="Comma 9 31" xfId="1004"/>
    <cellStyle name="Comma 9 32" xfId="1005"/>
    <cellStyle name="Comma 9 33" xfId="1006"/>
    <cellStyle name="Comma 9 34" xfId="1007"/>
    <cellStyle name="Comma 9 35" xfId="1008"/>
    <cellStyle name="Comma 9 36" xfId="1009"/>
    <cellStyle name="Comma 9 37" xfId="1010"/>
    <cellStyle name="Comma 9 38" xfId="1011"/>
    <cellStyle name="Comma 9 39" xfId="1012"/>
    <cellStyle name="Comma 9 4" xfId="1013"/>
    <cellStyle name="Comma 9 40" xfId="1014"/>
    <cellStyle name="Comma 9 41" xfId="1015"/>
    <cellStyle name="Comma 9 42" xfId="1016"/>
    <cellStyle name="Comma 9 43" xfId="1017"/>
    <cellStyle name="Comma 9 44" xfId="1018"/>
    <cellStyle name="Comma 9 45" xfId="1019"/>
    <cellStyle name="Comma 9 46" xfId="1020"/>
    <cellStyle name="Comma 9 47" xfId="1021"/>
    <cellStyle name="Comma 9 48" xfId="1022"/>
    <cellStyle name="Comma 9 49" xfId="1023"/>
    <cellStyle name="Comma 9 5" xfId="1024"/>
    <cellStyle name="Comma 9 50" xfId="1025"/>
    <cellStyle name="Comma 9 51" xfId="1026"/>
    <cellStyle name="Comma 9 52" xfId="1027"/>
    <cellStyle name="Comma 9 53" xfId="1028"/>
    <cellStyle name="Comma 9 54" xfId="1029"/>
    <cellStyle name="Comma 9 55" xfId="1030"/>
    <cellStyle name="Comma 9 56" xfId="1031"/>
    <cellStyle name="Comma 9 57" xfId="1032"/>
    <cellStyle name="Comma 9 58" xfId="1033"/>
    <cellStyle name="Comma 9 59" xfId="1034"/>
    <cellStyle name="Comma 9 6" xfId="1035"/>
    <cellStyle name="Comma 9 60" xfId="1036"/>
    <cellStyle name="Comma 9 61" xfId="1037"/>
    <cellStyle name="Comma 9 62" xfId="1038"/>
    <cellStyle name="Comma 9 63" xfId="1039"/>
    <cellStyle name="Comma 9 7" xfId="1040"/>
    <cellStyle name="Comma 9 8" xfId="1041"/>
    <cellStyle name="Comma 9 9" xfId="1042"/>
    <cellStyle name="Currency" xfId="2" builtinId="4"/>
    <cellStyle name="Currency [0] 2" xfId="13"/>
    <cellStyle name="Currency [0] 2 10" xfId="1043"/>
    <cellStyle name="Currency [0] 2 11" xfId="1044"/>
    <cellStyle name="Currency [0] 2 12" xfId="1045"/>
    <cellStyle name="Currency [0] 2 13" xfId="1046"/>
    <cellStyle name="Currency [0] 2 14" xfId="1047"/>
    <cellStyle name="Currency [0] 2 15" xfId="1048"/>
    <cellStyle name="Currency [0] 2 16" xfId="1049"/>
    <cellStyle name="Currency [0] 2 17" xfId="1050"/>
    <cellStyle name="Currency [0] 2 18" xfId="1051"/>
    <cellStyle name="Currency [0] 2 19" xfId="1052"/>
    <cellStyle name="Currency [0] 2 2" xfId="14"/>
    <cellStyle name="Currency [0] 2 2 2" xfId="112"/>
    <cellStyle name="Currency [0] 2 20" xfId="1053"/>
    <cellStyle name="Currency [0] 2 21" xfId="1054"/>
    <cellStyle name="Currency [0] 2 22" xfId="1055"/>
    <cellStyle name="Currency [0] 2 23" xfId="1056"/>
    <cellStyle name="Currency [0] 2 24" xfId="1057"/>
    <cellStyle name="Currency [0] 2 25" xfId="1058"/>
    <cellStyle name="Currency [0] 2 26" xfId="1059"/>
    <cellStyle name="Currency [0] 2 27" xfId="1060"/>
    <cellStyle name="Currency [0] 2 28" xfId="1061"/>
    <cellStyle name="Currency [0] 2 29" xfId="1062"/>
    <cellStyle name="Currency [0] 2 3" xfId="111"/>
    <cellStyle name="Currency [0] 2 30" xfId="1063"/>
    <cellStyle name="Currency [0] 2 31" xfId="1064"/>
    <cellStyle name="Currency [0] 2 32" xfId="1065"/>
    <cellStyle name="Currency [0] 2 33" xfId="1066"/>
    <cellStyle name="Currency [0] 2 34" xfId="1067"/>
    <cellStyle name="Currency [0] 2 35" xfId="1068"/>
    <cellStyle name="Currency [0] 2 36" xfId="1069"/>
    <cellStyle name="Currency [0] 2 37" xfId="1070"/>
    <cellStyle name="Currency [0] 2 38" xfId="1071"/>
    <cellStyle name="Currency [0] 2 39" xfId="1072"/>
    <cellStyle name="Currency [0] 2 4" xfId="1073"/>
    <cellStyle name="Currency [0] 2 40" xfId="1074"/>
    <cellStyle name="Currency [0] 2 41" xfId="1075"/>
    <cellStyle name="Currency [0] 2 42" xfId="1076"/>
    <cellStyle name="Currency [0] 2 43" xfId="1077"/>
    <cellStyle name="Currency [0] 2 44" xfId="1078"/>
    <cellStyle name="Currency [0] 2 45" xfId="1079"/>
    <cellStyle name="Currency [0] 2 46" xfId="1080"/>
    <cellStyle name="Currency [0] 2 47" xfId="1081"/>
    <cellStyle name="Currency [0] 2 48" xfId="1082"/>
    <cellStyle name="Currency [0] 2 49" xfId="1083"/>
    <cellStyle name="Currency [0] 2 5" xfId="1084"/>
    <cellStyle name="Currency [0] 2 50" xfId="1085"/>
    <cellStyle name="Currency [0] 2 51" xfId="1086"/>
    <cellStyle name="Currency [0] 2 52" xfId="1087"/>
    <cellStyle name="Currency [0] 2 53" xfId="1088"/>
    <cellStyle name="Currency [0] 2 54" xfId="1089"/>
    <cellStyle name="Currency [0] 2 55" xfId="1090"/>
    <cellStyle name="Currency [0] 2 56" xfId="1091"/>
    <cellStyle name="Currency [0] 2 57" xfId="1092"/>
    <cellStyle name="Currency [0] 2 58" xfId="1093"/>
    <cellStyle name="Currency [0] 2 59" xfId="1094"/>
    <cellStyle name="Currency [0] 2 6" xfId="1095"/>
    <cellStyle name="Currency [0] 2 60" xfId="1096"/>
    <cellStyle name="Currency [0] 2 61" xfId="1097"/>
    <cellStyle name="Currency [0] 2 62" xfId="1098"/>
    <cellStyle name="Currency [0] 2 63" xfId="1099"/>
    <cellStyle name="Currency [0] 2 7" xfId="1100"/>
    <cellStyle name="Currency [0] 2 8" xfId="1101"/>
    <cellStyle name="Currency [0] 2 9" xfId="1102"/>
    <cellStyle name="Currency [0] 3" xfId="1103"/>
    <cellStyle name="Currency [0] 3 10" xfId="1104"/>
    <cellStyle name="Currency [0] 3 11" xfId="1105"/>
    <cellStyle name="Currency [0] 3 12" xfId="1106"/>
    <cellStyle name="Currency [0] 3 13" xfId="1107"/>
    <cellStyle name="Currency [0] 3 14" xfId="1108"/>
    <cellStyle name="Currency [0] 3 15" xfId="1109"/>
    <cellStyle name="Currency [0] 3 16" xfId="1110"/>
    <cellStyle name="Currency [0] 3 17" xfId="1111"/>
    <cellStyle name="Currency [0] 3 18" xfId="1112"/>
    <cellStyle name="Currency [0] 3 19" xfId="1113"/>
    <cellStyle name="Currency [0] 3 2" xfId="1114"/>
    <cellStyle name="Currency [0] 3 20" xfId="1115"/>
    <cellStyle name="Currency [0] 3 21" xfId="1116"/>
    <cellStyle name="Currency [0] 3 22" xfId="1117"/>
    <cellStyle name="Currency [0] 3 23" xfId="1118"/>
    <cellStyle name="Currency [0] 3 24" xfId="1119"/>
    <cellStyle name="Currency [0] 3 25" xfId="1120"/>
    <cellStyle name="Currency [0] 3 26" xfId="1121"/>
    <cellStyle name="Currency [0] 3 27" xfId="1122"/>
    <cellStyle name="Currency [0] 3 28" xfId="1123"/>
    <cellStyle name="Currency [0] 3 29" xfId="1124"/>
    <cellStyle name="Currency [0] 3 3" xfId="1125"/>
    <cellStyle name="Currency [0] 3 30" xfId="1126"/>
    <cellStyle name="Currency [0] 3 31" xfId="1127"/>
    <cellStyle name="Currency [0] 3 32" xfId="1128"/>
    <cellStyle name="Currency [0] 3 33" xfId="1129"/>
    <cellStyle name="Currency [0] 3 34" xfId="1130"/>
    <cellStyle name="Currency [0] 3 35" xfId="1131"/>
    <cellStyle name="Currency [0] 3 36" xfId="1132"/>
    <cellStyle name="Currency [0] 3 37" xfId="1133"/>
    <cellStyle name="Currency [0] 3 38" xfId="1134"/>
    <cellStyle name="Currency [0] 3 39" xfId="1135"/>
    <cellStyle name="Currency [0] 3 4" xfId="1136"/>
    <cellStyle name="Currency [0] 3 40" xfId="1137"/>
    <cellStyle name="Currency [0] 3 41" xfId="1138"/>
    <cellStyle name="Currency [0] 3 42" xfId="1139"/>
    <cellStyle name="Currency [0] 3 43" xfId="1140"/>
    <cellStyle name="Currency [0] 3 44" xfId="1141"/>
    <cellStyle name="Currency [0] 3 45" xfId="1142"/>
    <cellStyle name="Currency [0] 3 46" xfId="1143"/>
    <cellStyle name="Currency [0] 3 47" xfId="1144"/>
    <cellStyle name="Currency [0] 3 48" xfId="1145"/>
    <cellStyle name="Currency [0] 3 49" xfId="1146"/>
    <cellStyle name="Currency [0] 3 5" xfId="1147"/>
    <cellStyle name="Currency [0] 3 50" xfId="1148"/>
    <cellStyle name="Currency [0] 3 51" xfId="1149"/>
    <cellStyle name="Currency [0] 3 52" xfId="1150"/>
    <cellStyle name="Currency [0] 3 53" xfId="1151"/>
    <cellStyle name="Currency [0] 3 54" xfId="1152"/>
    <cellStyle name="Currency [0] 3 55" xfId="1153"/>
    <cellStyle name="Currency [0] 3 56" xfId="1154"/>
    <cellStyle name="Currency [0] 3 57" xfId="1155"/>
    <cellStyle name="Currency [0] 3 58" xfId="1156"/>
    <cellStyle name="Currency [0] 3 59" xfId="1157"/>
    <cellStyle name="Currency [0] 3 6" xfId="1158"/>
    <cellStyle name="Currency [0] 3 60" xfId="1159"/>
    <cellStyle name="Currency [0] 3 61" xfId="1160"/>
    <cellStyle name="Currency [0] 3 62" xfId="1161"/>
    <cellStyle name="Currency [0] 3 63" xfId="1162"/>
    <cellStyle name="Currency [0] 3 64" xfId="1163"/>
    <cellStyle name="Currency [0] 3 7" xfId="1164"/>
    <cellStyle name="Currency [0] 3 8" xfId="1165"/>
    <cellStyle name="Currency [0] 3 9" xfId="1166"/>
    <cellStyle name="Currency [0] 4" xfId="1167"/>
    <cellStyle name="Currency [0] 4 10" xfId="1168"/>
    <cellStyle name="Currency [0] 4 11" xfId="1169"/>
    <cellStyle name="Currency [0] 4 12" xfId="1170"/>
    <cellStyle name="Currency [0] 4 13" xfId="1171"/>
    <cellStyle name="Currency [0] 4 14" xfId="1172"/>
    <cellStyle name="Currency [0] 4 15" xfId="1173"/>
    <cellStyle name="Currency [0] 4 16" xfId="1174"/>
    <cellStyle name="Currency [0] 4 17" xfId="1175"/>
    <cellStyle name="Currency [0] 4 18" xfId="1176"/>
    <cellStyle name="Currency [0] 4 19" xfId="1177"/>
    <cellStyle name="Currency [0] 4 2" xfId="1178"/>
    <cellStyle name="Currency [0] 4 20" xfId="1179"/>
    <cellStyle name="Currency [0] 4 21" xfId="1180"/>
    <cellStyle name="Currency [0] 4 22" xfId="1181"/>
    <cellStyle name="Currency [0] 4 23" xfId="1182"/>
    <cellStyle name="Currency [0] 4 24" xfId="1183"/>
    <cellStyle name="Currency [0] 4 25" xfId="1184"/>
    <cellStyle name="Currency [0] 4 26" xfId="1185"/>
    <cellStyle name="Currency [0] 4 27" xfId="1186"/>
    <cellStyle name="Currency [0] 4 28" xfId="1187"/>
    <cellStyle name="Currency [0] 4 29" xfId="1188"/>
    <cellStyle name="Currency [0] 4 3" xfId="1189"/>
    <cellStyle name="Currency [0] 4 30" xfId="1190"/>
    <cellStyle name="Currency [0] 4 31" xfId="1191"/>
    <cellStyle name="Currency [0] 4 32" xfId="1192"/>
    <cellStyle name="Currency [0] 4 33" xfId="1193"/>
    <cellStyle name="Currency [0] 4 34" xfId="1194"/>
    <cellStyle name="Currency [0] 4 35" xfId="1195"/>
    <cellStyle name="Currency [0] 4 36" xfId="1196"/>
    <cellStyle name="Currency [0] 4 37" xfId="1197"/>
    <cellStyle name="Currency [0] 4 38" xfId="1198"/>
    <cellStyle name="Currency [0] 4 39" xfId="1199"/>
    <cellStyle name="Currency [0] 4 4" xfId="1200"/>
    <cellStyle name="Currency [0] 4 40" xfId="1201"/>
    <cellStyle name="Currency [0] 4 41" xfId="1202"/>
    <cellStyle name="Currency [0] 4 42" xfId="1203"/>
    <cellStyle name="Currency [0] 4 43" xfId="1204"/>
    <cellStyle name="Currency [0] 4 44" xfId="1205"/>
    <cellStyle name="Currency [0] 4 45" xfId="1206"/>
    <cellStyle name="Currency [0] 4 46" xfId="1207"/>
    <cellStyle name="Currency [0] 4 47" xfId="1208"/>
    <cellStyle name="Currency [0] 4 48" xfId="1209"/>
    <cellStyle name="Currency [0] 4 49" xfId="1210"/>
    <cellStyle name="Currency [0] 4 5" xfId="1211"/>
    <cellStyle name="Currency [0] 4 50" xfId="1212"/>
    <cellStyle name="Currency [0] 4 51" xfId="1213"/>
    <cellStyle name="Currency [0] 4 52" xfId="1214"/>
    <cellStyle name="Currency [0] 4 53" xfId="1215"/>
    <cellStyle name="Currency [0] 4 54" xfId="1216"/>
    <cellStyle name="Currency [0] 4 55" xfId="1217"/>
    <cellStyle name="Currency [0] 4 56" xfId="1218"/>
    <cellStyle name="Currency [0] 4 57" xfId="1219"/>
    <cellStyle name="Currency [0] 4 58" xfId="1220"/>
    <cellStyle name="Currency [0] 4 59" xfId="1221"/>
    <cellStyle name="Currency [0] 4 6" xfId="1222"/>
    <cellStyle name="Currency [0] 4 60" xfId="1223"/>
    <cellStyle name="Currency [0] 4 61" xfId="1224"/>
    <cellStyle name="Currency [0] 4 62" xfId="1225"/>
    <cellStyle name="Currency [0] 4 63" xfId="1226"/>
    <cellStyle name="Currency [0] 4 7" xfId="1227"/>
    <cellStyle name="Currency [0] 4 8" xfId="1228"/>
    <cellStyle name="Currency [0] 4 9" xfId="1229"/>
    <cellStyle name="Currency [0] 5" xfId="1230"/>
    <cellStyle name="Currency [0] 5 10" xfId="1231"/>
    <cellStyle name="Currency [0] 5 11" xfId="1232"/>
    <cellStyle name="Currency [0] 5 12" xfId="1233"/>
    <cellStyle name="Currency [0] 5 13" xfId="1234"/>
    <cellStyle name="Currency [0] 5 14" xfId="1235"/>
    <cellStyle name="Currency [0] 5 15" xfId="1236"/>
    <cellStyle name="Currency [0] 5 16" xfId="1237"/>
    <cellStyle name="Currency [0] 5 17" xfId="1238"/>
    <cellStyle name="Currency [0] 5 18" xfId="1239"/>
    <cellStyle name="Currency [0] 5 19" xfId="1240"/>
    <cellStyle name="Currency [0] 5 2" xfId="1241"/>
    <cellStyle name="Currency [0] 5 20" xfId="1242"/>
    <cellStyle name="Currency [0] 5 21" xfId="1243"/>
    <cellStyle name="Currency [0] 5 22" xfId="1244"/>
    <cellStyle name="Currency [0] 5 23" xfId="1245"/>
    <cellStyle name="Currency [0] 5 24" xfId="1246"/>
    <cellStyle name="Currency [0] 5 25" xfId="1247"/>
    <cellStyle name="Currency [0] 5 26" xfId="1248"/>
    <cellStyle name="Currency [0] 5 27" xfId="1249"/>
    <cellStyle name="Currency [0] 5 28" xfId="1250"/>
    <cellStyle name="Currency [0] 5 29" xfId="1251"/>
    <cellStyle name="Currency [0] 5 3" xfId="1252"/>
    <cellStyle name="Currency [0] 5 3 10" xfId="1253"/>
    <cellStyle name="Currency [0] 5 3 11" xfId="1254"/>
    <cellStyle name="Currency [0] 5 3 12" xfId="1255"/>
    <cellStyle name="Currency [0] 5 3 13" xfId="1256"/>
    <cellStyle name="Currency [0] 5 3 14" xfId="1257"/>
    <cellStyle name="Currency [0] 5 3 15" xfId="1258"/>
    <cellStyle name="Currency [0] 5 3 16" xfId="1259"/>
    <cellStyle name="Currency [0] 5 3 17" xfId="1260"/>
    <cellStyle name="Currency [0] 5 3 18" xfId="1261"/>
    <cellStyle name="Currency [0] 5 3 19" xfId="1262"/>
    <cellStyle name="Currency [0] 5 3 2" xfId="1263"/>
    <cellStyle name="Currency [0] 5 3 20" xfId="1264"/>
    <cellStyle name="Currency [0] 5 3 21" xfId="1265"/>
    <cellStyle name="Currency [0] 5 3 22" xfId="1266"/>
    <cellStyle name="Currency [0] 5 3 23" xfId="1267"/>
    <cellStyle name="Currency [0] 5 3 24" xfId="1268"/>
    <cellStyle name="Currency [0] 5 3 25" xfId="1269"/>
    <cellStyle name="Currency [0] 5 3 26" xfId="1270"/>
    <cellStyle name="Currency [0] 5 3 3" xfId="1271"/>
    <cellStyle name="Currency [0] 5 3 4" xfId="1272"/>
    <cellStyle name="Currency [0] 5 3 5" xfId="1273"/>
    <cellStyle name="Currency [0] 5 3 6" xfId="1274"/>
    <cellStyle name="Currency [0] 5 3 7" xfId="1275"/>
    <cellStyle name="Currency [0] 5 3 8" xfId="1276"/>
    <cellStyle name="Currency [0] 5 3 9" xfId="1277"/>
    <cellStyle name="Currency [0] 5 30" xfId="1278"/>
    <cellStyle name="Currency [0] 5 31" xfId="1279"/>
    <cellStyle name="Currency [0] 5 32" xfId="1280"/>
    <cellStyle name="Currency [0] 5 33" xfId="1281"/>
    <cellStyle name="Currency [0] 5 34" xfId="1282"/>
    <cellStyle name="Currency [0] 5 35" xfId="1283"/>
    <cellStyle name="Currency [0] 5 36" xfId="1284"/>
    <cellStyle name="Currency [0] 5 37" xfId="1285"/>
    <cellStyle name="Currency [0] 5 38" xfId="1286"/>
    <cellStyle name="Currency [0] 5 39" xfId="1287"/>
    <cellStyle name="Currency [0] 5 4" xfId="1288"/>
    <cellStyle name="Currency [0] 5 40" xfId="1289"/>
    <cellStyle name="Currency [0] 5 41" xfId="1290"/>
    <cellStyle name="Currency [0] 5 42" xfId="1291"/>
    <cellStyle name="Currency [0] 5 43" xfId="1292"/>
    <cellStyle name="Currency [0] 5 44" xfId="1293"/>
    <cellStyle name="Currency [0] 5 45" xfId="1294"/>
    <cellStyle name="Currency [0] 5 46" xfId="1295"/>
    <cellStyle name="Currency [0] 5 47" xfId="1296"/>
    <cellStyle name="Currency [0] 5 48" xfId="1297"/>
    <cellStyle name="Currency [0] 5 49" xfId="1298"/>
    <cellStyle name="Currency [0] 5 5" xfId="1299"/>
    <cellStyle name="Currency [0] 5 5 10" xfId="1300"/>
    <cellStyle name="Currency [0] 5 5 11" xfId="1301"/>
    <cellStyle name="Currency [0] 5 5 12" xfId="1302"/>
    <cellStyle name="Currency [0] 5 5 13" xfId="1303"/>
    <cellStyle name="Currency [0] 5 5 14" xfId="1304"/>
    <cellStyle name="Currency [0] 5 5 15" xfId="1305"/>
    <cellStyle name="Currency [0] 5 5 16" xfId="1306"/>
    <cellStyle name="Currency [0] 5 5 17" xfId="1307"/>
    <cellStyle name="Currency [0] 5 5 18" xfId="1308"/>
    <cellStyle name="Currency [0] 5 5 19" xfId="1309"/>
    <cellStyle name="Currency [0] 5 5 2" xfId="1310"/>
    <cellStyle name="Currency [0] 5 5 20" xfId="1311"/>
    <cellStyle name="Currency [0] 5 5 21" xfId="1312"/>
    <cellStyle name="Currency [0] 5 5 22" xfId="1313"/>
    <cellStyle name="Currency [0] 5 5 23" xfId="1314"/>
    <cellStyle name="Currency [0] 5 5 24" xfId="1315"/>
    <cellStyle name="Currency [0] 5 5 25" xfId="1316"/>
    <cellStyle name="Currency [0] 5 5 26" xfId="1317"/>
    <cellStyle name="Currency [0] 5 5 27" xfId="1318"/>
    <cellStyle name="Currency [0] 5 5 28" xfId="1319"/>
    <cellStyle name="Currency [0] 5 5 29" xfId="1320"/>
    <cellStyle name="Currency [0] 5 5 3" xfId="1321"/>
    <cellStyle name="Currency [0] 5 5 30" xfId="1322"/>
    <cellStyle name="Currency [0] 5 5 31" xfId="1323"/>
    <cellStyle name="Currency [0] 5 5 32" xfId="1324"/>
    <cellStyle name="Currency [0] 5 5 33" xfId="1325"/>
    <cellStyle name="Currency [0] 5 5 34" xfId="1326"/>
    <cellStyle name="Currency [0] 5 5 35" xfId="1327"/>
    <cellStyle name="Currency [0] 5 5 36" xfId="1328"/>
    <cellStyle name="Currency [0] 5 5 37" xfId="1329"/>
    <cellStyle name="Currency [0] 5 5 38" xfId="1330"/>
    <cellStyle name="Currency [0] 5 5 39" xfId="1331"/>
    <cellStyle name="Currency [0] 5 5 4" xfId="1332"/>
    <cellStyle name="Currency [0] 5 5 40" xfId="1333"/>
    <cellStyle name="Currency [0] 5 5 41" xfId="1334"/>
    <cellStyle name="Currency [0] 5 5 42" xfId="1335"/>
    <cellStyle name="Currency [0] 5 5 43" xfId="1336"/>
    <cellStyle name="Currency [0] 5 5 44" xfId="1337"/>
    <cellStyle name="Currency [0] 5 5 45" xfId="1338"/>
    <cellStyle name="Currency [0] 5 5 46" xfId="1339"/>
    <cellStyle name="Currency [0] 5 5 47" xfId="1340"/>
    <cellStyle name="Currency [0] 5 5 48" xfId="1341"/>
    <cellStyle name="Currency [0] 5 5 49" xfId="1342"/>
    <cellStyle name="Currency [0] 5 5 5" xfId="1343"/>
    <cellStyle name="Currency [0] 5 5 50" xfId="1344"/>
    <cellStyle name="Currency [0] 5 5 51" xfId="1345"/>
    <cellStyle name="Currency [0] 5 5 52" xfId="1346"/>
    <cellStyle name="Currency [0] 5 5 53" xfId="1347"/>
    <cellStyle name="Currency [0] 5 5 54" xfId="1348"/>
    <cellStyle name="Currency [0] 5 5 55" xfId="1349"/>
    <cellStyle name="Currency [0] 5 5 56" xfId="1350"/>
    <cellStyle name="Currency [0] 5 5 57" xfId="1351"/>
    <cellStyle name="Currency [0] 5 5 58" xfId="1352"/>
    <cellStyle name="Currency [0] 5 5 59" xfId="1353"/>
    <cellStyle name="Currency [0] 5 5 6" xfId="1354"/>
    <cellStyle name="Currency [0] 5 5 60" xfId="1355"/>
    <cellStyle name="Currency [0] 5 5 61" xfId="1356"/>
    <cellStyle name="Currency [0] 5 5 62" xfId="1357"/>
    <cellStyle name="Currency [0] 5 5 63" xfId="1358"/>
    <cellStyle name="Currency [0] 5 5 64" xfId="1359"/>
    <cellStyle name="Currency [0] 5 5 65" xfId="1360"/>
    <cellStyle name="Currency [0] 5 5 66" xfId="1361"/>
    <cellStyle name="Currency [0] 5 5 67" xfId="1362"/>
    <cellStyle name="Currency [0] 5 5 68" xfId="1363"/>
    <cellStyle name="Currency [0] 5 5 69" xfId="1364"/>
    <cellStyle name="Currency [0] 5 5 7" xfId="1365"/>
    <cellStyle name="Currency [0] 5 5 70" xfId="1366"/>
    <cellStyle name="Currency [0] 5 5 71" xfId="1367"/>
    <cellStyle name="Currency [0] 5 5 8" xfId="1368"/>
    <cellStyle name="Currency [0] 5 5 9" xfId="1369"/>
    <cellStyle name="Currency [0] 5 50" xfId="1370"/>
    <cellStyle name="Currency [0] 5 51" xfId="1371"/>
    <cellStyle name="Currency [0] 5 52" xfId="1372"/>
    <cellStyle name="Currency [0] 5 53" xfId="1373"/>
    <cellStyle name="Currency [0] 5 54" xfId="1374"/>
    <cellStyle name="Currency [0] 5 55" xfId="1375"/>
    <cellStyle name="Currency [0] 5 56" xfId="1376"/>
    <cellStyle name="Currency [0] 5 57" xfId="1377"/>
    <cellStyle name="Currency [0] 5 58" xfId="1378"/>
    <cellStyle name="Currency [0] 5 59" xfId="1379"/>
    <cellStyle name="Currency [0] 5 6" xfId="1380"/>
    <cellStyle name="Currency [0] 5 60" xfId="1381"/>
    <cellStyle name="Currency [0] 5 60 2" xfId="1382"/>
    <cellStyle name="Currency [0] 5 60 3" xfId="1383"/>
    <cellStyle name="Currency [0] 5 60 3 2" xfId="1384"/>
    <cellStyle name="Currency [0] 5 61" xfId="1385"/>
    <cellStyle name="Currency [0] 5 62" xfId="1386"/>
    <cellStyle name="Currency [0] 5 63" xfId="1387"/>
    <cellStyle name="Currency [0] 5 64" xfId="1388"/>
    <cellStyle name="Currency [0] 5 65" xfId="1389"/>
    <cellStyle name="Currency [0] 5 66" xfId="1390"/>
    <cellStyle name="Currency [0] 5 67" xfId="1391"/>
    <cellStyle name="Currency [0] 5 68" xfId="1392"/>
    <cellStyle name="Currency [0] 5 69" xfId="1393"/>
    <cellStyle name="Currency [0] 5 7" xfId="1394"/>
    <cellStyle name="Currency [0] 5 70" xfId="1395"/>
    <cellStyle name="Currency [0] 5 71" xfId="1396"/>
    <cellStyle name="Currency [0] 5 72" xfId="1397"/>
    <cellStyle name="Currency [0] 5 73" xfId="1398"/>
    <cellStyle name="Currency [0] 5 74" xfId="1399"/>
    <cellStyle name="Currency [0] 5 8" xfId="1400"/>
    <cellStyle name="Currency [0] 5 9" xfId="1401"/>
    <cellStyle name="Currency 10" xfId="1402"/>
    <cellStyle name="Currency 10 10" xfId="1403"/>
    <cellStyle name="Currency 10 11" xfId="1404"/>
    <cellStyle name="Currency 10 12" xfId="1405"/>
    <cellStyle name="Currency 10 13" xfId="1406"/>
    <cellStyle name="Currency 10 14" xfId="1407"/>
    <cellStyle name="Currency 10 15" xfId="1408"/>
    <cellStyle name="Currency 10 16" xfId="1409"/>
    <cellStyle name="Currency 10 17" xfId="1410"/>
    <cellStyle name="Currency 10 18" xfId="1411"/>
    <cellStyle name="Currency 10 19" xfId="1412"/>
    <cellStyle name="Currency 10 2" xfId="1413"/>
    <cellStyle name="Currency 10 20" xfId="1414"/>
    <cellStyle name="Currency 10 21" xfId="1415"/>
    <cellStyle name="Currency 10 22" xfId="1416"/>
    <cellStyle name="Currency 10 23" xfId="1417"/>
    <cellStyle name="Currency 10 24" xfId="1418"/>
    <cellStyle name="Currency 10 25" xfId="1419"/>
    <cellStyle name="Currency 10 26" xfId="1420"/>
    <cellStyle name="Currency 10 27" xfId="1421"/>
    <cellStyle name="Currency 10 28" xfId="1422"/>
    <cellStyle name="Currency 10 29" xfId="1423"/>
    <cellStyle name="Currency 10 3" xfId="1424"/>
    <cellStyle name="Currency 10 3 10" xfId="1425"/>
    <cellStyle name="Currency 10 3 11" xfId="1426"/>
    <cellStyle name="Currency 10 3 12" xfId="1427"/>
    <cellStyle name="Currency 10 3 13" xfId="1428"/>
    <cellStyle name="Currency 10 3 14" xfId="1429"/>
    <cellStyle name="Currency 10 3 15" xfId="1430"/>
    <cellStyle name="Currency 10 3 16" xfId="1431"/>
    <cellStyle name="Currency 10 3 17" xfId="1432"/>
    <cellStyle name="Currency 10 3 18" xfId="1433"/>
    <cellStyle name="Currency 10 3 19" xfId="1434"/>
    <cellStyle name="Currency 10 3 2" xfId="1435"/>
    <cellStyle name="Currency 10 3 20" xfId="1436"/>
    <cellStyle name="Currency 10 3 21" xfId="1437"/>
    <cellStyle name="Currency 10 3 22" xfId="1438"/>
    <cellStyle name="Currency 10 3 23" xfId="1439"/>
    <cellStyle name="Currency 10 3 24" xfId="1440"/>
    <cellStyle name="Currency 10 3 25" xfId="1441"/>
    <cellStyle name="Currency 10 3 26" xfId="1442"/>
    <cellStyle name="Currency 10 3 3" xfId="1443"/>
    <cellStyle name="Currency 10 3 4" xfId="1444"/>
    <cellStyle name="Currency 10 3 5" xfId="1445"/>
    <cellStyle name="Currency 10 3 6" xfId="1446"/>
    <cellStyle name="Currency 10 3 7" xfId="1447"/>
    <cellStyle name="Currency 10 3 8" xfId="1448"/>
    <cellStyle name="Currency 10 3 9" xfId="1449"/>
    <cellStyle name="Currency 10 30" xfId="1450"/>
    <cellStyle name="Currency 10 31" xfId="1451"/>
    <cellStyle name="Currency 10 32" xfId="1452"/>
    <cellStyle name="Currency 10 33" xfId="1453"/>
    <cellStyle name="Currency 10 34" xfId="1454"/>
    <cellStyle name="Currency 10 35" xfId="1455"/>
    <cellStyle name="Currency 10 36" xfId="1456"/>
    <cellStyle name="Currency 10 37" xfId="1457"/>
    <cellStyle name="Currency 10 38" xfId="1458"/>
    <cellStyle name="Currency 10 39" xfId="1459"/>
    <cellStyle name="Currency 10 4" xfId="1460"/>
    <cellStyle name="Currency 10 40" xfId="1461"/>
    <cellStyle name="Currency 10 41" xfId="1462"/>
    <cellStyle name="Currency 10 42" xfId="1463"/>
    <cellStyle name="Currency 10 43" xfId="1464"/>
    <cellStyle name="Currency 10 44" xfId="1465"/>
    <cellStyle name="Currency 10 45" xfId="1466"/>
    <cellStyle name="Currency 10 46" xfId="1467"/>
    <cellStyle name="Currency 10 47" xfId="1468"/>
    <cellStyle name="Currency 10 48" xfId="1469"/>
    <cellStyle name="Currency 10 49" xfId="1470"/>
    <cellStyle name="Currency 10 5" xfId="1471"/>
    <cellStyle name="Currency 10 5 10" xfId="1472"/>
    <cellStyle name="Currency 10 5 11" xfId="1473"/>
    <cellStyle name="Currency 10 5 12" xfId="1474"/>
    <cellStyle name="Currency 10 5 13" xfId="1475"/>
    <cellStyle name="Currency 10 5 14" xfId="1476"/>
    <cellStyle name="Currency 10 5 15" xfId="1477"/>
    <cellStyle name="Currency 10 5 16" xfId="1478"/>
    <cellStyle name="Currency 10 5 17" xfId="1479"/>
    <cellStyle name="Currency 10 5 18" xfId="1480"/>
    <cellStyle name="Currency 10 5 19" xfId="1481"/>
    <cellStyle name="Currency 10 5 2" xfId="1482"/>
    <cellStyle name="Currency 10 5 20" xfId="1483"/>
    <cellStyle name="Currency 10 5 21" xfId="1484"/>
    <cellStyle name="Currency 10 5 22" xfId="1485"/>
    <cellStyle name="Currency 10 5 23" xfId="1486"/>
    <cellStyle name="Currency 10 5 24" xfId="1487"/>
    <cellStyle name="Currency 10 5 25" xfId="1488"/>
    <cellStyle name="Currency 10 5 26" xfId="1489"/>
    <cellStyle name="Currency 10 5 27" xfId="1490"/>
    <cellStyle name="Currency 10 5 28" xfId="1491"/>
    <cellStyle name="Currency 10 5 29" xfId="1492"/>
    <cellStyle name="Currency 10 5 3" xfId="1493"/>
    <cellStyle name="Currency 10 5 30" xfId="1494"/>
    <cellStyle name="Currency 10 5 31" xfId="1495"/>
    <cellStyle name="Currency 10 5 32" xfId="1496"/>
    <cellStyle name="Currency 10 5 33" xfId="1497"/>
    <cellStyle name="Currency 10 5 34" xfId="1498"/>
    <cellStyle name="Currency 10 5 35" xfId="1499"/>
    <cellStyle name="Currency 10 5 36" xfId="1500"/>
    <cellStyle name="Currency 10 5 37" xfId="1501"/>
    <cellStyle name="Currency 10 5 38" xfId="1502"/>
    <cellStyle name="Currency 10 5 39" xfId="1503"/>
    <cellStyle name="Currency 10 5 4" xfId="1504"/>
    <cellStyle name="Currency 10 5 40" xfId="1505"/>
    <cellStyle name="Currency 10 5 41" xfId="1506"/>
    <cellStyle name="Currency 10 5 42" xfId="1507"/>
    <cellStyle name="Currency 10 5 43" xfId="1508"/>
    <cellStyle name="Currency 10 5 44" xfId="1509"/>
    <cellStyle name="Currency 10 5 45" xfId="1510"/>
    <cellStyle name="Currency 10 5 46" xfId="1511"/>
    <cellStyle name="Currency 10 5 47" xfId="1512"/>
    <cellStyle name="Currency 10 5 48" xfId="1513"/>
    <cellStyle name="Currency 10 5 49" xfId="1514"/>
    <cellStyle name="Currency 10 5 5" xfId="1515"/>
    <cellStyle name="Currency 10 5 50" xfId="1516"/>
    <cellStyle name="Currency 10 5 51" xfId="1517"/>
    <cellStyle name="Currency 10 5 52" xfId="1518"/>
    <cellStyle name="Currency 10 5 53" xfId="1519"/>
    <cellStyle name="Currency 10 5 54" xfId="1520"/>
    <cellStyle name="Currency 10 5 55" xfId="1521"/>
    <cellStyle name="Currency 10 5 56" xfId="1522"/>
    <cellStyle name="Currency 10 5 57" xfId="1523"/>
    <cellStyle name="Currency 10 5 58" xfId="1524"/>
    <cellStyle name="Currency 10 5 59" xfId="1525"/>
    <cellStyle name="Currency 10 5 6" xfId="1526"/>
    <cellStyle name="Currency 10 5 60" xfId="1527"/>
    <cellStyle name="Currency 10 5 61" xfId="1528"/>
    <cellStyle name="Currency 10 5 62" xfId="1529"/>
    <cellStyle name="Currency 10 5 63" xfId="1530"/>
    <cellStyle name="Currency 10 5 64" xfId="1531"/>
    <cellStyle name="Currency 10 5 65" xfId="1532"/>
    <cellStyle name="Currency 10 5 66" xfId="1533"/>
    <cellStyle name="Currency 10 5 67" xfId="1534"/>
    <cellStyle name="Currency 10 5 68" xfId="1535"/>
    <cellStyle name="Currency 10 5 69" xfId="1536"/>
    <cellStyle name="Currency 10 5 7" xfId="1537"/>
    <cellStyle name="Currency 10 5 70" xfId="1538"/>
    <cellStyle name="Currency 10 5 71" xfId="1539"/>
    <cellStyle name="Currency 10 5 8" xfId="1540"/>
    <cellStyle name="Currency 10 5 9" xfId="1541"/>
    <cellStyle name="Currency 10 50" xfId="1542"/>
    <cellStyle name="Currency 10 51" xfId="1543"/>
    <cellStyle name="Currency 10 52" xfId="1544"/>
    <cellStyle name="Currency 10 53" xfId="1545"/>
    <cellStyle name="Currency 10 54" xfId="1546"/>
    <cellStyle name="Currency 10 55" xfId="1547"/>
    <cellStyle name="Currency 10 56" xfId="1548"/>
    <cellStyle name="Currency 10 57" xfId="1549"/>
    <cellStyle name="Currency 10 58" xfId="1550"/>
    <cellStyle name="Currency 10 59" xfId="1551"/>
    <cellStyle name="Currency 10 6" xfId="1552"/>
    <cellStyle name="Currency 10 60" xfId="1553"/>
    <cellStyle name="Currency 10 60 2" xfId="1554"/>
    <cellStyle name="Currency 10 60 3" xfId="1555"/>
    <cellStyle name="Currency 10 60 3 2" xfId="1556"/>
    <cellStyle name="Currency 10 61" xfId="1557"/>
    <cellStyle name="Currency 10 62" xfId="1558"/>
    <cellStyle name="Currency 10 63" xfId="1559"/>
    <cellStyle name="Currency 10 64" xfId="1560"/>
    <cellStyle name="Currency 10 65" xfId="1561"/>
    <cellStyle name="Currency 10 66" xfId="1562"/>
    <cellStyle name="Currency 10 67" xfId="1563"/>
    <cellStyle name="Currency 10 68" xfId="1564"/>
    <cellStyle name="Currency 10 69" xfId="1565"/>
    <cellStyle name="Currency 10 7" xfId="1566"/>
    <cellStyle name="Currency 10 70" xfId="1567"/>
    <cellStyle name="Currency 10 71" xfId="1568"/>
    <cellStyle name="Currency 10 72" xfId="1569"/>
    <cellStyle name="Currency 10 73" xfId="1570"/>
    <cellStyle name="Currency 10 74" xfId="1571"/>
    <cellStyle name="Currency 10 8" xfId="1572"/>
    <cellStyle name="Currency 10 9" xfId="1573"/>
    <cellStyle name="Currency 11" xfId="1574"/>
    <cellStyle name="Currency 12" xfId="1575"/>
    <cellStyle name="Currency 13" xfId="1576"/>
    <cellStyle name="Currency 14" xfId="1577"/>
    <cellStyle name="Currency 15" xfId="1578"/>
    <cellStyle name="Currency 16" xfId="1579"/>
    <cellStyle name="Currency 17" xfId="1580"/>
    <cellStyle name="Currency 18" xfId="1581"/>
    <cellStyle name="Currency 19" xfId="1582"/>
    <cellStyle name="Currency 2" xfId="15"/>
    <cellStyle name="Currency 2 2" xfId="16"/>
    <cellStyle name="Currency 2 2 2" xfId="114"/>
    <cellStyle name="Currency 2 3" xfId="113"/>
    <cellStyle name="Currency 2 4" xfId="1583"/>
    <cellStyle name="Currency 20" xfId="1584"/>
    <cellStyle name="Currency 21" xfId="1585"/>
    <cellStyle name="Currency 22" xfId="1586"/>
    <cellStyle name="Currency 23" xfId="1587"/>
    <cellStyle name="Currency 24" xfId="1588"/>
    <cellStyle name="Currency 25" xfId="1589"/>
    <cellStyle name="Currency 26" xfId="1590"/>
    <cellStyle name="Currency 27" xfId="1591"/>
    <cellStyle name="Currency 28" xfId="1592"/>
    <cellStyle name="Currency 29" xfId="1593"/>
    <cellStyle name="Currency 3" xfId="12"/>
    <cellStyle name="Currency 3 2" xfId="110"/>
    <cellStyle name="Currency 3 3" xfId="1594"/>
    <cellStyle name="Currency 30" xfId="1595"/>
    <cellStyle name="Currency 31" xfId="1596"/>
    <cellStyle name="Currency 32" xfId="1597"/>
    <cellStyle name="Currency 33" xfId="1598"/>
    <cellStyle name="Currency 34" xfId="1599"/>
    <cellStyle name="Currency 35" xfId="1600"/>
    <cellStyle name="Currency 36" xfId="1601"/>
    <cellStyle name="Currency 37" xfId="1602"/>
    <cellStyle name="Currency 38" xfId="1603"/>
    <cellStyle name="Currency 39" xfId="1604"/>
    <cellStyle name="Currency 4" xfId="50"/>
    <cellStyle name="Currency 4 10" xfId="1605"/>
    <cellStyle name="Currency 4 11" xfId="1606"/>
    <cellStyle name="Currency 4 12" xfId="1607"/>
    <cellStyle name="Currency 4 13" xfId="1608"/>
    <cellStyle name="Currency 4 14" xfId="1609"/>
    <cellStyle name="Currency 4 15" xfId="1610"/>
    <cellStyle name="Currency 4 16" xfId="1611"/>
    <cellStyle name="Currency 4 17" xfId="1612"/>
    <cellStyle name="Currency 4 18" xfId="1613"/>
    <cellStyle name="Currency 4 19" xfId="1614"/>
    <cellStyle name="Currency 4 2" xfId="133"/>
    <cellStyle name="Currency 4 2 2" xfId="157"/>
    <cellStyle name="Currency 4 20" xfId="1615"/>
    <cellStyle name="Currency 4 21" xfId="1616"/>
    <cellStyle name="Currency 4 22" xfId="1617"/>
    <cellStyle name="Currency 4 23" xfId="1618"/>
    <cellStyle name="Currency 4 24" xfId="1619"/>
    <cellStyle name="Currency 4 25" xfId="1620"/>
    <cellStyle name="Currency 4 26" xfId="1621"/>
    <cellStyle name="Currency 4 27" xfId="1622"/>
    <cellStyle name="Currency 4 28" xfId="1623"/>
    <cellStyle name="Currency 4 29" xfId="1624"/>
    <cellStyle name="Currency 4 3" xfId="1625"/>
    <cellStyle name="Currency 4 30" xfId="1626"/>
    <cellStyle name="Currency 4 31" xfId="1627"/>
    <cellStyle name="Currency 4 32" xfId="1628"/>
    <cellStyle name="Currency 4 33" xfId="1629"/>
    <cellStyle name="Currency 4 34" xfId="1630"/>
    <cellStyle name="Currency 4 35" xfId="1631"/>
    <cellStyle name="Currency 4 36" xfId="1632"/>
    <cellStyle name="Currency 4 37" xfId="1633"/>
    <cellStyle name="Currency 4 38" xfId="1634"/>
    <cellStyle name="Currency 4 39" xfId="1635"/>
    <cellStyle name="Currency 4 4" xfId="1636"/>
    <cellStyle name="Currency 4 40" xfId="1637"/>
    <cellStyle name="Currency 4 41" xfId="1638"/>
    <cellStyle name="Currency 4 42" xfId="1639"/>
    <cellStyle name="Currency 4 43" xfId="1640"/>
    <cellStyle name="Currency 4 44" xfId="1641"/>
    <cellStyle name="Currency 4 45" xfId="1642"/>
    <cellStyle name="Currency 4 46" xfId="1643"/>
    <cellStyle name="Currency 4 47" xfId="1644"/>
    <cellStyle name="Currency 4 48" xfId="1645"/>
    <cellStyle name="Currency 4 49" xfId="1646"/>
    <cellStyle name="Currency 4 5" xfId="1647"/>
    <cellStyle name="Currency 4 50" xfId="1648"/>
    <cellStyle name="Currency 4 51" xfId="1649"/>
    <cellStyle name="Currency 4 52" xfId="1650"/>
    <cellStyle name="Currency 4 53" xfId="1651"/>
    <cellStyle name="Currency 4 54" xfId="1652"/>
    <cellStyle name="Currency 4 55" xfId="1653"/>
    <cellStyle name="Currency 4 56" xfId="1654"/>
    <cellStyle name="Currency 4 57" xfId="1655"/>
    <cellStyle name="Currency 4 58" xfId="1656"/>
    <cellStyle name="Currency 4 59" xfId="1657"/>
    <cellStyle name="Currency 4 6" xfId="1658"/>
    <cellStyle name="Currency 4 60" xfId="1659"/>
    <cellStyle name="Currency 4 61" xfId="1660"/>
    <cellStyle name="Currency 4 62" xfId="1661"/>
    <cellStyle name="Currency 4 63" xfId="1662"/>
    <cellStyle name="Currency 4 64" xfId="1663"/>
    <cellStyle name="Currency 4 65" xfId="2875"/>
    <cellStyle name="Currency 4 66" xfId="153"/>
    <cellStyle name="Currency 4 7" xfId="1664"/>
    <cellStyle name="Currency 4 8" xfId="1665"/>
    <cellStyle name="Currency 4 9" xfId="1666"/>
    <cellStyle name="Currency 40" xfId="1667"/>
    <cellStyle name="Currency 41" xfId="1668"/>
    <cellStyle name="Currency 42" xfId="1669"/>
    <cellStyle name="Currency 43" xfId="1670"/>
    <cellStyle name="Currency 44" xfId="1671"/>
    <cellStyle name="Currency 45" xfId="1672"/>
    <cellStyle name="Currency 46" xfId="1673"/>
    <cellStyle name="Currency 47" xfId="1674"/>
    <cellStyle name="Currency 48" xfId="1675"/>
    <cellStyle name="Currency 5" xfId="52"/>
    <cellStyle name="Currency 5 10" xfId="1677"/>
    <cellStyle name="Currency 5 11" xfId="1678"/>
    <cellStyle name="Currency 5 12" xfId="1679"/>
    <cellStyle name="Currency 5 13" xfId="1680"/>
    <cellStyle name="Currency 5 14" xfId="1681"/>
    <cellStyle name="Currency 5 15" xfId="1682"/>
    <cellStyle name="Currency 5 16" xfId="1683"/>
    <cellStyle name="Currency 5 17" xfId="1684"/>
    <cellStyle name="Currency 5 18" xfId="1685"/>
    <cellStyle name="Currency 5 19" xfId="1686"/>
    <cellStyle name="Currency 5 2" xfId="147"/>
    <cellStyle name="Currency 5 20" xfId="1687"/>
    <cellStyle name="Currency 5 21" xfId="1688"/>
    <cellStyle name="Currency 5 22" xfId="1689"/>
    <cellStyle name="Currency 5 23" xfId="1690"/>
    <cellStyle name="Currency 5 24" xfId="1691"/>
    <cellStyle name="Currency 5 25" xfId="1692"/>
    <cellStyle name="Currency 5 26" xfId="1693"/>
    <cellStyle name="Currency 5 27" xfId="1694"/>
    <cellStyle name="Currency 5 28" xfId="1695"/>
    <cellStyle name="Currency 5 29" xfId="1696"/>
    <cellStyle name="Currency 5 3" xfId="1697"/>
    <cellStyle name="Currency 5 30" xfId="1698"/>
    <cellStyle name="Currency 5 31" xfId="1699"/>
    <cellStyle name="Currency 5 32" xfId="1700"/>
    <cellStyle name="Currency 5 33" xfId="1701"/>
    <cellStyle name="Currency 5 34" xfId="1702"/>
    <cellStyle name="Currency 5 35" xfId="1703"/>
    <cellStyle name="Currency 5 36" xfId="1704"/>
    <cellStyle name="Currency 5 37" xfId="1705"/>
    <cellStyle name="Currency 5 38" xfId="1706"/>
    <cellStyle name="Currency 5 39" xfId="1707"/>
    <cellStyle name="Currency 5 4" xfId="1708"/>
    <cellStyle name="Currency 5 40" xfId="1709"/>
    <cellStyle name="Currency 5 41" xfId="1710"/>
    <cellStyle name="Currency 5 42" xfId="1711"/>
    <cellStyle name="Currency 5 43" xfId="1712"/>
    <cellStyle name="Currency 5 44" xfId="1713"/>
    <cellStyle name="Currency 5 45" xfId="1714"/>
    <cellStyle name="Currency 5 46" xfId="1715"/>
    <cellStyle name="Currency 5 47" xfId="1716"/>
    <cellStyle name="Currency 5 48" xfId="1717"/>
    <cellStyle name="Currency 5 49" xfId="1718"/>
    <cellStyle name="Currency 5 5" xfId="1719"/>
    <cellStyle name="Currency 5 50" xfId="1720"/>
    <cellStyle name="Currency 5 51" xfId="1721"/>
    <cellStyle name="Currency 5 52" xfId="1722"/>
    <cellStyle name="Currency 5 53" xfId="1723"/>
    <cellStyle name="Currency 5 54" xfId="1724"/>
    <cellStyle name="Currency 5 55" xfId="1725"/>
    <cellStyle name="Currency 5 56" xfId="1726"/>
    <cellStyle name="Currency 5 57" xfId="1727"/>
    <cellStyle name="Currency 5 58" xfId="1728"/>
    <cellStyle name="Currency 5 59" xfId="1729"/>
    <cellStyle name="Currency 5 6" xfId="1730"/>
    <cellStyle name="Currency 5 60" xfId="1731"/>
    <cellStyle name="Currency 5 61" xfId="1732"/>
    <cellStyle name="Currency 5 62" xfId="1733"/>
    <cellStyle name="Currency 5 63" xfId="1734"/>
    <cellStyle name="Currency 5 64" xfId="1735"/>
    <cellStyle name="Currency 5 65" xfId="1676"/>
    <cellStyle name="Currency 5 7" xfId="1736"/>
    <cellStyle name="Currency 5 8" xfId="1737"/>
    <cellStyle name="Currency 5 9" xfId="1738"/>
    <cellStyle name="Currency 6" xfId="53"/>
    <cellStyle name="Currency 6 10" xfId="1739"/>
    <cellStyle name="Currency 6 11" xfId="1740"/>
    <cellStyle name="Currency 6 12" xfId="1741"/>
    <cellStyle name="Currency 6 13" xfId="1742"/>
    <cellStyle name="Currency 6 14" xfId="1743"/>
    <cellStyle name="Currency 6 15" xfId="1744"/>
    <cellStyle name="Currency 6 16" xfId="1745"/>
    <cellStyle name="Currency 6 17" xfId="1746"/>
    <cellStyle name="Currency 6 18" xfId="1747"/>
    <cellStyle name="Currency 6 19" xfId="1748"/>
    <cellStyle name="Currency 6 2" xfId="148"/>
    <cellStyle name="Currency 6 20" xfId="1749"/>
    <cellStyle name="Currency 6 21" xfId="1750"/>
    <cellStyle name="Currency 6 22" xfId="1751"/>
    <cellStyle name="Currency 6 23" xfId="1752"/>
    <cellStyle name="Currency 6 24" xfId="1753"/>
    <cellStyle name="Currency 6 25" xfId="1754"/>
    <cellStyle name="Currency 6 26" xfId="1755"/>
    <cellStyle name="Currency 6 27" xfId="1756"/>
    <cellStyle name="Currency 6 28" xfId="1757"/>
    <cellStyle name="Currency 6 29" xfId="1758"/>
    <cellStyle name="Currency 6 3" xfId="1759"/>
    <cellStyle name="Currency 6 30" xfId="1760"/>
    <cellStyle name="Currency 6 31" xfId="1761"/>
    <cellStyle name="Currency 6 32" xfId="1762"/>
    <cellStyle name="Currency 6 33" xfId="1763"/>
    <cellStyle name="Currency 6 34" xfId="1764"/>
    <cellStyle name="Currency 6 35" xfId="1765"/>
    <cellStyle name="Currency 6 36" xfId="1766"/>
    <cellStyle name="Currency 6 37" xfId="1767"/>
    <cellStyle name="Currency 6 38" xfId="1768"/>
    <cellStyle name="Currency 6 39" xfId="1769"/>
    <cellStyle name="Currency 6 4" xfId="1770"/>
    <cellStyle name="Currency 6 40" xfId="1771"/>
    <cellStyle name="Currency 6 41" xfId="1772"/>
    <cellStyle name="Currency 6 42" xfId="1773"/>
    <cellStyle name="Currency 6 43" xfId="1774"/>
    <cellStyle name="Currency 6 44" xfId="1775"/>
    <cellStyle name="Currency 6 45" xfId="1776"/>
    <cellStyle name="Currency 6 46" xfId="1777"/>
    <cellStyle name="Currency 6 47" xfId="1778"/>
    <cellStyle name="Currency 6 48" xfId="1779"/>
    <cellStyle name="Currency 6 49" xfId="1780"/>
    <cellStyle name="Currency 6 5" xfId="1781"/>
    <cellStyle name="Currency 6 50" xfId="1782"/>
    <cellStyle name="Currency 6 51" xfId="1783"/>
    <cellStyle name="Currency 6 52" xfId="1784"/>
    <cellStyle name="Currency 6 53" xfId="1785"/>
    <cellStyle name="Currency 6 54" xfId="1786"/>
    <cellStyle name="Currency 6 55" xfId="1787"/>
    <cellStyle name="Currency 6 56" xfId="1788"/>
    <cellStyle name="Currency 6 57" xfId="1789"/>
    <cellStyle name="Currency 6 58" xfId="1790"/>
    <cellStyle name="Currency 6 59" xfId="1791"/>
    <cellStyle name="Currency 6 6" xfId="1792"/>
    <cellStyle name="Currency 6 60" xfId="1793"/>
    <cellStyle name="Currency 6 61" xfId="1794"/>
    <cellStyle name="Currency 6 62" xfId="1795"/>
    <cellStyle name="Currency 6 63" xfId="1796"/>
    <cellStyle name="Currency 6 7" xfId="1797"/>
    <cellStyle name="Currency 6 8" xfId="1798"/>
    <cellStyle name="Currency 6 9" xfId="1799"/>
    <cellStyle name="Currency 7" xfId="1800"/>
    <cellStyle name="Currency 7 10" xfId="1801"/>
    <cellStyle name="Currency 7 11" xfId="1802"/>
    <cellStyle name="Currency 7 12" xfId="1803"/>
    <cellStyle name="Currency 7 13" xfId="1804"/>
    <cellStyle name="Currency 7 14" xfId="1805"/>
    <cellStyle name="Currency 7 15" xfId="1806"/>
    <cellStyle name="Currency 7 16" xfId="1807"/>
    <cellStyle name="Currency 7 17" xfId="1808"/>
    <cellStyle name="Currency 7 18" xfId="1809"/>
    <cellStyle name="Currency 7 19" xfId="1810"/>
    <cellStyle name="Currency 7 2" xfId="1811"/>
    <cellStyle name="Currency 7 20" xfId="1812"/>
    <cellStyle name="Currency 7 21" xfId="1813"/>
    <cellStyle name="Currency 7 22" xfId="1814"/>
    <cellStyle name="Currency 7 23" xfId="1815"/>
    <cellStyle name="Currency 7 24" xfId="1816"/>
    <cellStyle name="Currency 7 25" xfId="1817"/>
    <cellStyle name="Currency 7 26" xfId="1818"/>
    <cellStyle name="Currency 7 27" xfId="1819"/>
    <cellStyle name="Currency 7 28" xfId="1820"/>
    <cellStyle name="Currency 7 29" xfId="1821"/>
    <cellStyle name="Currency 7 3" xfId="1822"/>
    <cellStyle name="Currency 7 30" xfId="1823"/>
    <cellStyle name="Currency 7 31" xfId="1824"/>
    <cellStyle name="Currency 7 32" xfId="1825"/>
    <cellStyle name="Currency 7 33" xfId="1826"/>
    <cellStyle name="Currency 7 34" xfId="1827"/>
    <cellStyle name="Currency 7 35" xfId="1828"/>
    <cellStyle name="Currency 7 36" xfId="1829"/>
    <cellStyle name="Currency 7 37" xfId="1830"/>
    <cellStyle name="Currency 7 38" xfId="1831"/>
    <cellStyle name="Currency 7 39" xfId="1832"/>
    <cellStyle name="Currency 7 4" xfId="1833"/>
    <cellStyle name="Currency 7 40" xfId="1834"/>
    <cellStyle name="Currency 7 41" xfId="1835"/>
    <cellStyle name="Currency 7 42" xfId="1836"/>
    <cellStyle name="Currency 7 43" xfId="1837"/>
    <cellStyle name="Currency 7 44" xfId="1838"/>
    <cellStyle name="Currency 7 45" xfId="1839"/>
    <cellStyle name="Currency 7 46" xfId="1840"/>
    <cellStyle name="Currency 7 47" xfId="1841"/>
    <cellStyle name="Currency 7 48" xfId="1842"/>
    <cellStyle name="Currency 7 49" xfId="1843"/>
    <cellStyle name="Currency 7 5" xfId="1844"/>
    <cellStyle name="Currency 7 50" xfId="1845"/>
    <cellStyle name="Currency 7 51" xfId="1846"/>
    <cellStyle name="Currency 7 52" xfId="1847"/>
    <cellStyle name="Currency 7 53" xfId="1848"/>
    <cellStyle name="Currency 7 54" xfId="1849"/>
    <cellStyle name="Currency 7 55" xfId="1850"/>
    <cellStyle name="Currency 7 56" xfId="1851"/>
    <cellStyle name="Currency 7 57" xfId="1852"/>
    <cellStyle name="Currency 7 58" xfId="1853"/>
    <cellStyle name="Currency 7 59" xfId="1854"/>
    <cellStyle name="Currency 7 6" xfId="1855"/>
    <cellStyle name="Currency 7 60" xfId="1856"/>
    <cellStyle name="Currency 7 61" xfId="1857"/>
    <cellStyle name="Currency 7 62" xfId="1858"/>
    <cellStyle name="Currency 7 63" xfId="1859"/>
    <cellStyle name="Currency 7 7" xfId="1860"/>
    <cellStyle name="Currency 7 8" xfId="1861"/>
    <cellStyle name="Currency 7 9" xfId="1862"/>
    <cellStyle name="Currency 8" xfId="1863"/>
    <cellStyle name="Currency 8 10" xfId="1864"/>
    <cellStyle name="Currency 8 11" xfId="1865"/>
    <cellStyle name="Currency 8 12" xfId="1866"/>
    <cellStyle name="Currency 8 13" xfId="1867"/>
    <cellStyle name="Currency 8 14" xfId="1868"/>
    <cellStyle name="Currency 8 15" xfId="1869"/>
    <cellStyle name="Currency 8 16" xfId="1870"/>
    <cellStyle name="Currency 8 17" xfId="1871"/>
    <cellStyle name="Currency 8 18" xfId="1872"/>
    <cellStyle name="Currency 8 19" xfId="1873"/>
    <cellStyle name="Currency 8 2" xfId="1874"/>
    <cellStyle name="Currency 8 20" xfId="1875"/>
    <cellStyle name="Currency 8 21" xfId="1876"/>
    <cellStyle name="Currency 8 22" xfId="1877"/>
    <cellStyle name="Currency 8 23" xfId="1878"/>
    <cellStyle name="Currency 8 24" xfId="1879"/>
    <cellStyle name="Currency 8 25" xfId="1880"/>
    <cellStyle name="Currency 8 26" xfId="1881"/>
    <cellStyle name="Currency 8 27" xfId="1882"/>
    <cellStyle name="Currency 8 28" xfId="1883"/>
    <cellStyle name="Currency 8 29" xfId="1884"/>
    <cellStyle name="Currency 8 3" xfId="1885"/>
    <cellStyle name="Currency 8 30" xfId="1886"/>
    <cellStyle name="Currency 8 31" xfId="1887"/>
    <cellStyle name="Currency 8 32" xfId="1888"/>
    <cellStyle name="Currency 8 33" xfId="1889"/>
    <cellStyle name="Currency 8 34" xfId="1890"/>
    <cellStyle name="Currency 8 35" xfId="1891"/>
    <cellStyle name="Currency 8 36" xfId="1892"/>
    <cellStyle name="Currency 8 37" xfId="1893"/>
    <cellStyle name="Currency 8 38" xfId="1894"/>
    <cellStyle name="Currency 8 39" xfId="1895"/>
    <cellStyle name="Currency 8 4" xfId="1896"/>
    <cellStyle name="Currency 8 40" xfId="1897"/>
    <cellStyle name="Currency 8 41" xfId="1898"/>
    <cellStyle name="Currency 8 42" xfId="1899"/>
    <cellStyle name="Currency 8 43" xfId="1900"/>
    <cellStyle name="Currency 8 44" xfId="1901"/>
    <cellStyle name="Currency 8 45" xfId="1902"/>
    <cellStyle name="Currency 8 46" xfId="1903"/>
    <cellStyle name="Currency 8 47" xfId="1904"/>
    <cellStyle name="Currency 8 48" xfId="1905"/>
    <cellStyle name="Currency 8 49" xfId="1906"/>
    <cellStyle name="Currency 8 5" xfId="1907"/>
    <cellStyle name="Currency 8 50" xfId="1908"/>
    <cellStyle name="Currency 8 51" xfId="1909"/>
    <cellStyle name="Currency 8 52" xfId="1910"/>
    <cellStyle name="Currency 8 53" xfId="1911"/>
    <cellStyle name="Currency 8 54" xfId="1912"/>
    <cellStyle name="Currency 8 55" xfId="1913"/>
    <cellStyle name="Currency 8 56" xfId="1914"/>
    <cellStyle name="Currency 8 57" xfId="1915"/>
    <cellStyle name="Currency 8 58" xfId="1916"/>
    <cellStyle name="Currency 8 59" xfId="1917"/>
    <cellStyle name="Currency 8 6" xfId="1918"/>
    <cellStyle name="Currency 8 60" xfId="1919"/>
    <cellStyle name="Currency 8 61" xfId="1920"/>
    <cellStyle name="Currency 8 62" xfId="1921"/>
    <cellStyle name="Currency 8 63" xfId="1922"/>
    <cellStyle name="Currency 8 64" xfId="1923"/>
    <cellStyle name="Currency 8 7" xfId="1924"/>
    <cellStyle name="Currency 8 8" xfId="1925"/>
    <cellStyle name="Currency 8 9" xfId="1926"/>
    <cellStyle name="Currency 9" xfId="1927"/>
    <cellStyle name="Currency 9 10" xfId="1928"/>
    <cellStyle name="Currency 9 11" xfId="1929"/>
    <cellStyle name="Currency 9 12" xfId="1930"/>
    <cellStyle name="Currency 9 13" xfId="1931"/>
    <cellStyle name="Currency 9 14" xfId="1932"/>
    <cellStyle name="Currency 9 15" xfId="1933"/>
    <cellStyle name="Currency 9 16" xfId="1934"/>
    <cellStyle name="Currency 9 17" xfId="1935"/>
    <cellStyle name="Currency 9 18" xfId="1936"/>
    <cellStyle name="Currency 9 19" xfId="1937"/>
    <cellStyle name="Currency 9 2" xfId="1938"/>
    <cellStyle name="Currency 9 20" xfId="1939"/>
    <cellStyle name="Currency 9 21" xfId="1940"/>
    <cellStyle name="Currency 9 22" xfId="1941"/>
    <cellStyle name="Currency 9 23" xfId="1942"/>
    <cellStyle name="Currency 9 24" xfId="1943"/>
    <cellStyle name="Currency 9 25" xfId="1944"/>
    <cellStyle name="Currency 9 26" xfId="1945"/>
    <cellStyle name="Currency 9 27" xfId="1946"/>
    <cellStyle name="Currency 9 28" xfId="1947"/>
    <cellStyle name="Currency 9 29" xfId="1948"/>
    <cellStyle name="Currency 9 3" xfId="1949"/>
    <cellStyle name="Currency 9 30" xfId="1950"/>
    <cellStyle name="Currency 9 31" xfId="1951"/>
    <cellStyle name="Currency 9 32" xfId="1952"/>
    <cellStyle name="Currency 9 33" xfId="1953"/>
    <cellStyle name="Currency 9 34" xfId="1954"/>
    <cellStyle name="Currency 9 35" xfId="1955"/>
    <cellStyle name="Currency 9 36" xfId="1956"/>
    <cellStyle name="Currency 9 37" xfId="1957"/>
    <cellStyle name="Currency 9 38" xfId="1958"/>
    <cellStyle name="Currency 9 39" xfId="1959"/>
    <cellStyle name="Currency 9 4" xfId="1960"/>
    <cellStyle name="Currency 9 40" xfId="1961"/>
    <cellStyle name="Currency 9 41" xfId="1962"/>
    <cellStyle name="Currency 9 42" xfId="1963"/>
    <cellStyle name="Currency 9 43" xfId="1964"/>
    <cellStyle name="Currency 9 44" xfId="1965"/>
    <cellStyle name="Currency 9 45" xfId="1966"/>
    <cellStyle name="Currency 9 46" xfId="1967"/>
    <cellStyle name="Currency 9 47" xfId="1968"/>
    <cellStyle name="Currency 9 48" xfId="1969"/>
    <cellStyle name="Currency 9 49" xfId="1970"/>
    <cellStyle name="Currency 9 5" xfId="1971"/>
    <cellStyle name="Currency 9 50" xfId="1972"/>
    <cellStyle name="Currency 9 51" xfId="1973"/>
    <cellStyle name="Currency 9 52" xfId="1974"/>
    <cellStyle name="Currency 9 53" xfId="1975"/>
    <cellStyle name="Currency 9 54" xfId="1976"/>
    <cellStyle name="Currency 9 55" xfId="1977"/>
    <cellStyle name="Currency 9 56" xfId="1978"/>
    <cellStyle name="Currency 9 57" xfId="1979"/>
    <cellStyle name="Currency 9 58" xfId="1980"/>
    <cellStyle name="Currency 9 59" xfId="1981"/>
    <cellStyle name="Currency 9 6" xfId="1982"/>
    <cellStyle name="Currency 9 60" xfId="1983"/>
    <cellStyle name="Currency 9 61" xfId="1984"/>
    <cellStyle name="Currency 9 62" xfId="1985"/>
    <cellStyle name="Currency 9 63" xfId="1986"/>
    <cellStyle name="Currency 9 7" xfId="1987"/>
    <cellStyle name="Currency 9 8" xfId="1988"/>
    <cellStyle name="Currency 9 9" xfId="1989"/>
    <cellStyle name="Double Line 25.5" xfId="17"/>
    <cellStyle name="Explanatory Text" xfId="75" builtinId="53" customBuiltin="1"/>
    <cellStyle name="Extra space" xfId="1990"/>
    <cellStyle name="Good" xfId="65" builtinId="26" customBuiltin="1"/>
    <cellStyle name="Grey" xfId="28"/>
    <cellStyle name="Heading 1" xfId="61" builtinId="16" customBuiltin="1"/>
    <cellStyle name="Heading 2" xfId="62" builtinId="17" customBuiltin="1"/>
    <cellStyle name="Heading 3" xfId="63" builtinId="18" customBuiltin="1"/>
    <cellStyle name="Heading 4" xfId="64" builtinId="19" customBuiltin="1"/>
    <cellStyle name="Hyperlink 2" xfId="115"/>
    <cellStyle name="Hyperlink 3" xfId="1991"/>
    <cellStyle name="Hyperlink 4" xfId="1992"/>
    <cellStyle name="Input" xfId="68" builtinId="20" customBuiltin="1"/>
    <cellStyle name="Input [yellow]" xfId="29"/>
    <cellStyle name="Item Tag" xfId="1993"/>
    <cellStyle name="Line (top, bottom heavy)" xfId="1994"/>
    <cellStyle name="Linked Cell" xfId="71" builtinId="24" customBuiltin="1"/>
    <cellStyle name="Neutral" xfId="67" builtinId="28" customBuiltin="1"/>
    <cellStyle name="no dec" xfId="30"/>
    <cellStyle name="Normal" xfId="0" builtinId="0"/>
    <cellStyle name="Normal - Style1" xfId="31"/>
    <cellStyle name="Normal 10" xfId="1995"/>
    <cellStyle name="Normal 11" xfId="1996"/>
    <cellStyle name="Normal 11 3" xfId="138"/>
    <cellStyle name="Normal 12" xfId="1997"/>
    <cellStyle name="Normal 12 10" xfId="1998"/>
    <cellStyle name="Normal 13" xfId="1999"/>
    <cellStyle name="Normal 14" xfId="2000"/>
    <cellStyle name="Normal 18" xfId="136"/>
    <cellStyle name="Normal 19" xfId="140"/>
    <cellStyle name="Normal 2" xfId="18"/>
    <cellStyle name="Normal 2 2" xfId="19"/>
    <cellStyle name="Normal 2 2 2" xfId="26"/>
    <cellStyle name="Normal 2 2 2 2" xfId="123"/>
    <cellStyle name="Normal 2 2 3" xfId="116"/>
    <cellStyle name="Normal 2 248" xfId="2002"/>
    <cellStyle name="Normal 2 3" xfId="135"/>
    <cellStyle name="Normal 2 3 2" xfId="141"/>
    <cellStyle name="Normal 2 3 3" xfId="2877"/>
    <cellStyle name="Normal 2 3 4" xfId="155"/>
    <cellStyle name="Normal 2 4" xfId="151"/>
    <cellStyle name="Normal 2 5" xfId="101"/>
    <cellStyle name="Normal 2 5 2" xfId="2001"/>
    <cellStyle name="Normal 2_4Q 2010 Non-GAAP Reconciliation_WEB" xfId="2003"/>
    <cellStyle name="Normal 20" xfId="143"/>
    <cellStyle name="Normal 244" xfId="2004"/>
    <cellStyle name="Normal 245" xfId="2005"/>
    <cellStyle name="Normal 246" xfId="2006"/>
    <cellStyle name="Normal 26" xfId="45"/>
    <cellStyle name="Normal 3" xfId="25"/>
    <cellStyle name="Normal 3 10" xfId="2007"/>
    <cellStyle name="Normal 3 11" xfId="2008"/>
    <cellStyle name="Normal 3 12" xfId="2009"/>
    <cellStyle name="Normal 3 13" xfId="2010"/>
    <cellStyle name="Normal 3 14" xfId="2011"/>
    <cellStyle name="Normal 3 15" xfId="2012"/>
    <cellStyle name="Normal 3 16" xfId="2013"/>
    <cellStyle name="Normal 3 17" xfId="2014"/>
    <cellStyle name="Normal 3 18" xfId="2015"/>
    <cellStyle name="Normal 3 19" xfId="2016"/>
    <cellStyle name="Normal 3 2" xfId="43"/>
    <cellStyle name="Normal 3 2 2" xfId="2871"/>
    <cellStyle name="Normal 3 2 3" xfId="2017"/>
    <cellStyle name="Normal 3 20" xfId="2018"/>
    <cellStyle name="Normal 3 21" xfId="2019"/>
    <cellStyle name="Normal 3 22" xfId="2020"/>
    <cellStyle name="Normal 3 23" xfId="2021"/>
    <cellStyle name="Normal 3 24" xfId="2022"/>
    <cellStyle name="Normal 3 25" xfId="2023"/>
    <cellStyle name="Normal 3 26" xfId="2024"/>
    <cellStyle name="Normal 3 27" xfId="2025"/>
    <cellStyle name="Normal 3 28" xfId="2026"/>
    <cellStyle name="Normal 3 29" xfId="2027"/>
    <cellStyle name="Normal 3 3" xfId="122"/>
    <cellStyle name="Normal 3 3 2" xfId="2867"/>
    <cellStyle name="Normal 3 3 3" xfId="2028"/>
    <cellStyle name="Normal 3 30" xfId="2029"/>
    <cellStyle name="Normal 3 31" xfId="2030"/>
    <cellStyle name="Normal 3 32" xfId="2031"/>
    <cellStyle name="Normal 3 33" xfId="2032"/>
    <cellStyle name="Normal 3 34" xfId="2033"/>
    <cellStyle name="Normal 3 35" xfId="2034"/>
    <cellStyle name="Normal 3 36" xfId="2035"/>
    <cellStyle name="Normal 3 37" xfId="2036"/>
    <cellStyle name="Normal 3 38" xfId="2037"/>
    <cellStyle name="Normal 3 39" xfId="2038"/>
    <cellStyle name="Normal 3 4" xfId="102"/>
    <cellStyle name="Normal 3 4 2" xfId="2039"/>
    <cellStyle name="Normal 3 40" xfId="2040"/>
    <cellStyle name="Normal 3 41" xfId="2041"/>
    <cellStyle name="Normal 3 42" xfId="2042"/>
    <cellStyle name="Normal 3 43" xfId="2043"/>
    <cellStyle name="Normal 3 44" xfId="2044"/>
    <cellStyle name="Normal 3 45" xfId="2045"/>
    <cellStyle name="Normal 3 46" xfId="2046"/>
    <cellStyle name="Normal 3 47" xfId="2047"/>
    <cellStyle name="Normal 3 48" xfId="2048"/>
    <cellStyle name="Normal 3 49" xfId="2049"/>
    <cellStyle name="Normal 3 5" xfId="2050"/>
    <cellStyle name="Normal 3 50" xfId="2051"/>
    <cellStyle name="Normal 3 51" xfId="2052"/>
    <cellStyle name="Normal 3 52" xfId="2053"/>
    <cellStyle name="Normal 3 53" xfId="2054"/>
    <cellStyle name="Normal 3 54" xfId="2055"/>
    <cellStyle name="Normal 3 55" xfId="2056"/>
    <cellStyle name="Normal 3 56" xfId="2057"/>
    <cellStyle name="Normal 3 57" xfId="2058"/>
    <cellStyle name="Normal 3 58" xfId="2059"/>
    <cellStyle name="Normal 3 59" xfId="2060"/>
    <cellStyle name="Normal 3 6" xfId="2061"/>
    <cellStyle name="Normal 3 60" xfId="2062"/>
    <cellStyle name="Normal 3 61" xfId="2063"/>
    <cellStyle name="Normal 3 62" xfId="2064"/>
    <cellStyle name="Normal 3 63" xfId="2065"/>
    <cellStyle name="Normal 3 64" xfId="2066"/>
    <cellStyle name="Normal 3 65" xfId="2067"/>
    <cellStyle name="Normal 3 66" xfId="2068"/>
    <cellStyle name="Normal 3 67" xfId="2881"/>
    <cellStyle name="Normal 3 68" xfId="160"/>
    <cellStyle name="Normal 3 7" xfId="2069"/>
    <cellStyle name="Normal 3 8" xfId="2070"/>
    <cellStyle name="Normal 3 9" xfId="2071"/>
    <cellStyle name="Normal 349" xfId="2072"/>
    <cellStyle name="Normal 4" xfId="32"/>
    <cellStyle name="Normal 4 10" xfId="2073"/>
    <cellStyle name="Normal 4 11" xfId="2074"/>
    <cellStyle name="Normal 4 12" xfId="2075"/>
    <cellStyle name="Normal 4 13" xfId="2076"/>
    <cellStyle name="Normal 4 14" xfId="2077"/>
    <cellStyle name="Normal 4 15" xfId="2078"/>
    <cellStyle name="Normal 4 16" xfId="2079"/>
    <cellStyle name="Normal 4 17" xfId="2080"/>
    <cellStyle name="Normal 4 18" xfId="2081"/>
    <cellStyle name="Normal 4 19" xfId="2082"/>
    <cellStyle name="Normal 4 2" xfId="2083"/>
    <cellStyle name="Normal 4 20" xfId="2084"/>
    <cellStyle name="Normal 4 21" xfId="2085"/>
    <cellStyle name="Normal 4 22" xfId="2086"/>
    <cellStyle name="Normal 4 23" xfId="2087"/>
    <cellStyle name="Normal 4 24" xfId="2088"/>
    <cellStyle name="Normal 4 25" xfId="2089"/>
    <cellStyle name="Normal 4 26" xfId="2090"/>
    <cellStyle name="Normal 4 27" xfId="2091"/>
    <cellStyle name="Normal 4 28" xfId="2092"/>
    <cellStyle name="Normal 4 29" xfId="2093"/>
    <cellStyle name="Normal 4 3" xfId="2094"/>
    <cellStyle name="Normal 4 30" xfId="2095"/>
    <cellStyle name="Normal 4 31" xfId="2096"/>
    <cellStyle name="Normal 4 32" xfId="2097"/>
    <cellStyle name="Normal 4 33" xfId="2098"/>
    <cellStyle name="Normal 4 34" xfId="2099"/>
    <cellStyle name="Normal 4 35" xfId="2100"/>
    <cellStyle name="Normal 4 36" xfId="2101"/>
    <cellStyle name="Normal 4 37" xfId="2102"/>
    <cellStyle name="Normal 4 38" xfId="2103"/>
    <cellStyle name="Normal 4 39" xfId="2104"/>
    <cellStyle name="Normal 4 4" xfId="2105"/>
    <cellStyle name="Normal 4 40" xfId="2106"/>
    <cellStyle name="Normal 4 41" xfId="2107"/>
    <cellStyle name="Normal 4 42" xfId="2108"/>
    <cellStyle name="Normal 4 43" xfId="2109"/>
    <cellStyle name="Normal 4 44" xfId="2110"/>
    <cellStyle name="Normal 4 45" xfId="2111"/>
    <cellStyle name="Normal 4 46" xfId="2112"/>
    <cellStyle name="Normal 4 47" xfId="2113"/>
    <cellStyle name="Normal 4 48" xfId="2114"/>
    <cellStyle name="Normal 4 49" xfId="2115"/>
    <cellStyle name="Normal 4 5" xfId="2116"/>
    <cellStyle name="Normal 4 50" xfId="2117"/>
    <cellStyle name="Normal 4 51" xfId="2118"/>
    <cellStyle name="Normal 4 52" xfId="2119"/>
    <cellStyle name="Normal 4 53" xfId="2120"/>
    <cellStyle name="Normal 4 54" xfId="2121"/>
    <cellStyle name="Normal 4 55" xfId="2122"/>
    <cellStyle name="Normal 4 56" xfId="2123"/>
    <cellStyle name="Normal 4 57" xfId="2124"/>
    <cellStyle name="Normal 4 58" xfId="2125"/>
    <cellStyle name="Normal 4 59" xfId="2126"/>
    <cellStyle name="Normal 4 6" xfId="2127"/>
    <cellStyle name="Normal 4 60" xfId="2128"/>
    <cellStyle name="Normal 4 61" xfId="2129"/>
    <cellStyle name="Normal 4 62" xfId="2130"/>
    <cellStyle name="Normal 4 63" xfId="2131"/>
    <cellStyle name="Normal 4 64" xfId="2132"/>
    <cellStyle name="Normal 4 65" xfId="2133"/>
    <cellStyle name="Normal 4 66" xfId="2134"/>
    <cellStyle name="Normal 4 67" xfId="2869"/>
    <cellStyle name="Normal 4 68" xfId="161"/>
    <cellStyle name="Normal 4 7" xfId="2135"/>
    <cellStyle name="Normal 4 8" xfId="2136"/>
    <cellStyle name="Normal 4 9" xfId="2137"/>
    <cellStyle name="Normal 5" xfId="42"/>
    <cellStyle name="Normal 5 10" xfId="2139"/>
    <cellStyle name="Normal 5 11" xfId="2140"/>
    <cellStyle name="Normal 5 12" xfId="2141"/>
    <cellStyle name="Normal 5 13" xfId="2142"/>
    <cellStyle name="Normal 5 14" xfId="2143"/>
    <cellStyle name="Normal 5 15" xfId="2144"/>
    <cellStyle name="Normal 5 16" xfId="2145"/>
    <cellStyle name="Normal 5 17" xfId="2146"/>
    <cellStyle name="Normal 5 18" xfId="2147"/>
    <cellStyle name="Normal 5 19" xfId="2148"/>
    <cellStyle name="Normal 5 2" xfId="130"/>
    <cellStyle name="Normal 5 20" xfId="2149"/>
    <cellStyle name="Normal 5 21" xfId="2150"/>
    <cellStyle name="Normal 5 22" xfId="2151"/>
    <cellStyle name="Normal 5 23" xfId="2152"/>
    <cellStyle name="Normal 5 24" xfId="2153"/>
    <cellStyle name="Normal 5 25" xfId="2154"/>
    <cellStyle name="Normal 5 26" xfId="2155"/>
    <cellStyle name="Normal 5 27" xfId="2156"/>
    <cellStyle name="Normal 5 28" xfId="2157"/>
    <cellStyle name="Normal 5 29" xfId="2158"/>
    <cellStyle name="Normal 5 3" xfId="2159"/>
    <cellStyle name="Normal 5 30" xfId="2160"/>
    <cellStyle name="Normal 5 31" xfId="2161"/>
    <cellStyle name="Normal 5 32" xfId="2162"/>
    <cellStyle name="Normal 5 33" xfId="2163"/>
    <cellStyle name="Normal 5 34" xfId="2164"/>
    <cellStyle name="Normal 5 35" xfId="2165"/>
    <cellStyle name="Normal 5 36" xfId="2166"/>
    <cellStyle name="Normal 5 37" xfId="2167"/>
    <cellStyle name="Normal 5 38" xfId="2168"/>
    <cellStyle name="Normal 5 39" xfId="2169"/>
    <cellStyle name="Normal 5 4" xfId="2170"/>
    <cellStyle name="Normal 5 40" xfId="2171"/>
    <cellStyle name="Normal 5 41" xfId="2172"/>
    <cellStyle name="Normal 5 42" xfId="2173"/>
    <cellStyle name="Normal 5 43" xfId="2174"/>
    <cellStyle name="Normal 5 44" xfId="2175"/>
    <cellStyle name="Normal 5 45" xfId="2176"/>
    <cellStyle name="Normal 5 46" xfId="2177"/>
    <cellStyle name="Normal 5 47" xfId="2178"/>
    <cellStyle name="Normal 5 48" xfId="2179"/>
    <cellStyle name="Normal 5 49" xfId="2180"/>
    <cellStyle name="Normal 5 5" xfId="2181"/>
    <cellStyle name="Normal 5 50" xfId="2182"/>
    <cellStyle name="Normal 5 51" xfId="2183"/>
    <cellStyle name="Normal 5 52" xfId="2184"/>
    <cellStyle name="Normal 5 53" xfId="2185"/>
    <cellStyle name="Normal 5 54" xfId="2186"/>
    <cellStyle name="Normal 5 55" xfId="2187"/>
    <cellStyle name="Normal 5 56" xfId="2188"/>
    <cellStyle name="Normal 5 57" xfId="2189"/>
    <cellStyle name="Normal 5 58" xfId="2190"/>
    <cellStyle name="Normal 5 59" xfId="2191"/>
    <cellStyle name="Normal 5 6" xfId="2192"/>
    <cellStyle name="Normal 5 60" xfId="2193"/>
    <cellStyle name="Normal 5 61" xfId="2194"/>
    <cellStyle name="Normal 5 62" xfId="2195"/>
    <cellStyle name="Normal 5 63" xfId="2196"/>
    <cellStyle name="Normal 5 64" xfId="2197"/>
    <cellStyle name="Normal 5 65" xfId="2198"/>
    <cellStyle name="Normal 5 66" xfId="2199"/>
    <cellStyle name="Normal 5 67" xfId="2138"/>
    <cellStyle name="Normal 5 7" xfId="2200"/>
    <cellStyle name="Normal 5 8" xfId="2201"/>
    <cellStyle name="Normal 5 9" xfId="2202"/>
    <cellStyle name="Normal 6" xfId="4"/>
    <cellStyle name="Normal 6 10" xfId="2203"/>
    <cellStyle name="Normal 6 11" xfId="2204"/>
    <cellStyle name="Normal 6 12" xfId="2205"/>
    <cellStyle name="Normal 6 13" xfId="2206"/>
    <cellStyle name="Normal 6 14" xfId="2207"/>
    <cellStyle name="Normal 6 15" xfId="2208"/>
    <cellStyle name="Normal 6 16" xfId="2209"/>
    <cellStyle name="Normal 6 17" xfId="2210"/>
    <cellStyle name="Normal 6 18" xfId="2211"/>
    <cellStyle name="Normal 6 19" xfId="2212"/>
    <cellStyle name="Normal 6 2" xfId="131"/>
    <cellStyle name="Normal 6 2 2" xfId="2213"/>
    <cellStyle name="Normal 6 20" xfId="2214"/>
    <cellStyle name="Normal 6 21" xfId="2215"/>
    <cellStyle name="Normal 6 22" xfId="2216"/>
    <cellStyle name="Normal 6 23" xfId="2217"/>
    <cellStyle name="Normal 6 24" xfId="2218"/>
    <cellStyle name="Normal 6 25" xfId="2219"/>
    <cellStyle name="Normal 6 26" xfId="2220"/>
    <cellStyle name="Normal 6 27" xfId="2221"/>
    <cellStyle name="Normal 6 28" xfId="2222"/>
    <cellStyle name="Normal 6 29" xfId="2223"/>
    <cellStyle name="Normal 6 3" xfId="2224"/>
    <cellStyle name="Normal 6 30" xfId="2225"/>
    <cellStyle name="Normal 6 31" xfId="2226"/>
    <cellStyle name="Normal 6 32" xfId="2227"/>
    <cellStyle name="Normal 6 33" xfId="2228"/>
    <cellStyle name="Normal 6 34" xfId="2229"/>
    <cellStyle name="Normal 6 35" xfId="2230"/>
    <cellStyle name="Normal 6 36" xfId="2231"/>
    <cellStyle name="Normal 6 37" xfId="2232"/>
    <cellStyle name="Normal 6 38" xfId="2233"/>
    <cellStyle name="Normal 6 39" xfId="2234"/>
    <cellStyle name="Normal 6 4" xfId="2235"/>
    <cellStyle name="Normal 6 40" xfId="2236"/>
    <cellStyle name="Normal 6 41" xfId="2237"/>
    <cellStyle name="Normal 6 42" xfId="2238"/>
    <cellStyle name="Normal 6 43" xfId="2239"/>
    <cellStyle name="Normal 6 44" xfId="2240"/>
    <cellStyle name="Normal 6 45" xfId="2241"/>
    <cellStyle name="Normal 6 46" xfId="2242"/>
    <cellStyle name="Normal 6 47" xfId="2243"/>
    <cellStyle name="Normal 6 48" xfId="2244"/>
    <cellStyle name="Normal 6 49" xfId="2245"/>
    <cellStyle name="Normal 6 5" xfId="2246"/>
    <cellStyle name="Normal 6 50" xfId="2247"/>
    <cellStyle name="Normal 6 51" xfId="2248"/>
    <cellStyle name="Normal 6 52" xfId="2249"/>
    <cellStyle name="Normal 6 53" xfId="2250"/>
    <cellStyle name="Normal 6 54" xfId="2251"/>
    <cellStyle name="Normal 6 55" xfId="2252"/>
    <cellStyle name="Normal 6 56" xfId="2253"/>
    <cellStyle name="Normal 6 57" xfId="2254"/>
    <cellStyle name="Normal 6 58" xfId="2255"/>
    <cellStyle name="Normal 6 59" xfId="2256"/>
    <cellStyle name="Normal 6 6" xfId="2257"/>
    <cellStyle name="Normal 6 60" xfId="2258"/>
    <cellStyle name="Normal 6 61" xfId="2259"/>
    <cellStyle name="Normal 6 62" xfId="2260"/>
    <cellStyle name="Normal 6 63" xfId="2261"/>
    <cellStyle name="Normal 6 64" xfId="2873"/>
    <cellStyle name="Normal 6 7" xfId="2262"/>
    <cellStyle name="Normal 6 8" xfId="2263"/>
    <cellStyle name="Normal 6 9" xfId="2264"/>
    <cellStyle name="Normal 7" xfId="46"/>
    <cellStyle name="Normal 7 2" xfId="2878"/>
    <cellStyle name="Normal 7 3" xfId="2265"/>
    <cellStyle name="Normal 7 4" xfId="2266"/>
    <cellStyle name="Normal 8" xfId="57"/>
    <cellStyle name="Normal 8 10" xfId="2267"/>
    <cellStyle name="Normal 8 11" xfId="2268"/>
    <cellStyle name="Normal 8 12" xfId="2269"/>
    <cellStyle name="Normal 8 13" xfId="2270"/>
    <cellStyle name="Normal 8 14" xfId="2271"/>
    <cellStyle name="Normal 8 15" xfId="2272"/>
    <cellStyle name="Normal 8 16" xfId="2273"/>
    <cellStyle name="Normal 8 17" xfId="2274"/>
    <cellStyle name="Normal 8 18" xfId="2275"/>
    <cellStyle name="Normal 8 19" xfId="2276"/>
    <cellStyle name="Normal 8 2" xfId="2277"/>
    <cellStyle name="Normal 8 20" xfId="2278"/>
    <cellStyle name="Normal 8 21" xfId="2279"/>
    <cellStyle name="Normal 8 22" xfId="2280"/>
    <cellStyle name="Normal 8 23" xfId="2281"/>
    <cellStyle name="Normal 8 24" xfId="2282"/>
    <cellStyle name="Normal 8 25" xfId="2283"/>
    <cellStyle name="Normal 8 26" xfId="2284"/>
    <cellStyle name="Normal 8 27" xfId="2285"/>
    <cellStyle name="Normal 8 28" xfId="2286"/>
    <cellStyle name="Normal 8 29" xfId="2287"/>
    <cellStyle name="Normal 8 3" xfId="2288"/>
    <cellStyle name="Normal 8 3 10" xfId="2289"/>
    <cellStyle name="Normal 8 3 11" xfId="2290"/>
    <cellStyle name="Normal 8 3 12" xfId="2291"/>
    <cellStyle name="Normal 8 3 13" xfId="2292"/>
    <cellStyle name="Normal 8 3 14" xfId="2293"/>
    <cellStyle name="Normal 8 3 15" xfId="2294"/>
    <cellStyle name="Normal 8 3 16" xfId="2295"/>
    <cellStyle name="Normal 8 3 17" xfId="2296"/>
    <cellStyle name="Normal 8 3 18" xfId="2297"/>
    <cellStyle name="Normal 8 3 19" xfId="2298"/>
    <cellStyle name="Normal 8 3 2" xfId="2299"/>
    <cellStyle name="Normal 8 3 20" xfId="2300"/>
    <cellStyle name="Normal 8 3 21" xfId="2301"/>
    <cellStyle name="Normal 8 3 22" xfId="2302"/>
    <cellStyle name="Normal 8 3 23" xfId="2303"/>
    <cellStyle name="Normal 8 3 24" xfId="2304"/>
    <cellStyle name="Normal 8 3 25" xfId="2305"/>
    <cellStyle name="Normal 8 3 26" xfId="2306"/>
    <cellStyle name="Normal 8 3 3" xfId="2307"/>
    <cellStyle name="Normal 8 3 4" xfId="2308"/>
    <cellStyle name="Normal 8 3 5" xfId="2309"/>
    <cellStyle name="Normal 8 3 6" xfId="2310"/>
    <cellStyle name="Normal 8 3 7" xfId="2311"/>
    <cellStyle name="Normal 8 3 8" xfId="2312"/>
    <cellStyle name="Normal 8 3 9" xfId="2313"/>
    <cellStyle name="Normal 8 30" xfId="2314"/>
    <cellStyle name="Normal 8 31" xfId="2315"/>
    <cellStyle name="Normal 8 32" xfId="2316"/>
    <cellStyle name="Normal 8 33" xfId="2317"/>
    <cellStyle name="Normal 8 34" xfId="2318"/>
    <cellStyle name="Normal 8 35" xfId="2319"/>
    <cellStyle name="Normal 8 36" xfId="2320"/>
    <cellStyle name="Normal 8 37" xfId="2321"/>
    <cellStyle name="Normal 8 38" xfId="2322"/>
    <cellStyle name="Normal 8 39" xfId="2323"/>
    <cellStyle name="Normal 8 4" xfId="2324"/>
    <cellStyle name="Normal 8 40" xfId="2325"/>
    <cellStyle name="Normal 8 41" xfId="2326"/>
    <cellStyle name="Normal 8 42" xfId="2327"/>
    <cellStyle name="Normal 8 43" xfId="2328"/>
    <cellStyle name="Normal 8 44" xfId="2329"/>
    <cellStyle name="Normal 8 45" xfId="2330"/>
    <cellStyle name="Normal 8 46" xfId="2331"/>
    <cellStyle name="Normal 8 47" xfId="2332"/>
    <cellStyle name="Normal 8 48" xfId="2333"/>
    <cellStyle name="Normal 8 49" xfId="2334"/>
    <cellStyle name="Normal 8 5" xfId="2335"/>
    <cellStyle name="Normal 8 5 10" xfId="2336"/>
    <cellStyle name="Normal 8 5 11" xfId="2337"/>
    <cellStyle name="Normal 8 5 12" xfId="2338"/>
    <cellStyle name="Normal 8 5 13" xfId="2339"/>
    <cellStyle name="Normal 8 5 14" xfId="2340"/>
    <cellStyle name="Normal 8 5 15" xfId="2341"/>
    <cellStyle name="Normal 8 5 16" xfId="2342"/>
    <cellStyle name="Normal 8 5 17" xfId="2343"/>
    <cellStyle name="Normal 8 5 18" xfId="2344"/>
    <cellStyle name="Normal 8 5 19" xfId="2345"/>
    <cellStyle name="Normal 8 5 2" xfId="2346"/>
    <cellStyle name="Normal 8 5 20" xfId="2347"/>
    <cellStyle name="Normal 8 5 21" xfId="2348"/>
    <cellStyle name="Normal 8 5 22" xfId="2349"/>
    <cellStyle name="Normal 8 5 23" xfId="2350"/>
    <cellStyle name="Normal 8 5 24" xfId="2351"/>
    <cellStyle name="Normal 8 5 25" xfId="2352"/>
    <cellStyle name="Normal 8 5 26" xfId="2353"/>
    <cellStyle name="Normal 8 5 27" xfId="2354"/>
    <cellStyle name="Normal 8 5 28" xfId="2355"/>
    <cellStyle name="Normal 8 5 29" xfId="2356"/>
    <cellStyle name="Normal 8 5 3" xfId="2357"/>
    <cellStyle name="Normal 8 5 30" xfId="2358"/>
    <cellStyle name="Normal 8 5 31" xfId="2359"/>
    <cellStyle name="Normal 8 5 32" xfId="2360"/>
    <cellStyle name="Normal 8 5 33" xfId="2361"/>
    <cellStyle name="Normal 8 5 34" xfId="2362"/>
    <cellStyle name="Normal 8 5 35" xfId="2363"/>
    <cellStyle name="Normal 8 5 36" xfId="2364"/>
    <cellStyle name="Normal 8 5 37" xfId="2365"/>
    <cellStyle name="Normal 8 5 38" xfId="2366"/>
    <cellStyle name="Normal 8 5 39" xfId="2367"/>
    <cellStyle name="Normal 8 5 4" xfId="2368"/>
    <cellStyle name="Normal 8 5 40" xfId="2369"/>
    <cellStyle name="Normal 8 5 41" xfId="2370"/>
    <cellStyle name="Normal 8 5 42" xfId="2371"/>
    <cellStyle name="Normal 8 5 43" xfId="2372"/>
    <cellStyle name="Normal 8 5 44" xfId="2373"/>
    <cellStyle name="Normal 8 5 45" xfId="2374"/>
    <cellStyle name="Normal 8 5 46" xfId="2375"/>
    <cellStyle name="Normal 8 5 47" xfId="2376"/>
    <cellStyle name="Normal 8 5 48" xfId="2377"/>
    <cellStyle name="Normal 8 5 49" xfId="2378"/>
    <cellStyle name="Normal 8 5 5" xfId="2379"/>
    <cellStyle name="Normal 8 5 50" xfId="2380"/>
    <cellStyle name="Normal 8 5 51" xfId="2381"/>
    <cellStyle name="Normal 8 5 52" xfId="2382"/>
    <cellStyle name="Normal 8 5 53" xfId="2383"/>
    <cellStyle name="Normal 8 5 54" xfId="2384"/>
    <cellStyle name="Normal 8 5 55" xfId="2385"/>
    <cellStyle name="Normal 8 5 56" xfId="2386"/>
    <cellStyle name="Normal 8 5 57" xfId="2387"/>
    <cellStyle name="Normal 8 5 58" xfId="2388"/>
    <cellStyle name="Normal 8 5 59" xfId="2389"/>
    <cellStyle name="Normal 8 5 6" xfId="2390"/>
    <cellStyle name="Normal 8 5 60" xfId="2391"/>
    <cellStyle name="Normal 8 5 61" xfId="2392"/>
    <cellStyle name="Normal 8 5 62" xfId="2393"/>
    <cellStyle name="Normal 8 5 63" xfId="2394"/>
    <cellStyle name="Normal 8 5 64" xfId="2395"/>
    <cellStyle name="Normal 8 5 65" xfId="2396"/>
    <cellStyle name="Normal 8 5 66" xfId="2397"/>
    <cellStyle name="Normal 8 5 67" xfId="2398"/>
    <cellStyle name="Normal 8 5 68" xfId="2399"/>
    <cellStyle name="Normal 8 5 69" xfId="2400"/>
    <cellStyle name="Normal 8 5 7" xfId="2401"/>
    <cellStyle name="Normal 8 5 70" xfId="2402"/>
    <cellStyle name="Normal 8 5 71" xfId="2403"/>
    <cellStyle name="Normal 8 5 8" xfId="2404"/>
    <cellStyle name="Normal 8 5 9" xfId="2405"/>
    <cellStyle name="Normal 8 50" xfId="2406"/>
    <cellStyle name="Normal 8 51" xfId="2407"/>
    <cellStyle name="Normal 8 52" xfId="2408"/>
    <cellStyle name="Normal 8 53" xfId="2409"/>
    <cellStyle name="Normal 8 54" xfId="2410"/>
    <cellStyle name="Normal 8 55" xfId="2411"/>
    <cellStyle name="Normal 8 56" xfId="2412"/>
    <cellStyle name="Normal 8 57" xfId="2413"/>
    <cellStyle name="Normal 8 58" xfId="2414"/>
    <cellStyle name="Normal 8 59" xfId="2415"/>
    <cellStyle name="Normal 8 6" xfId="2416"/>
    <cellStyle name="Normal 8 60" xfId="2417"/>
    <cellStyle name="Normal 8 60 2" xfId="2418"/>
    <cellStyle name="Normal 8 60 3" xfId="2419"/>
    <cellStyle name="Normal 8 60 3 2" xfId="2420"/>
    <cellStyle name="Normal 8 61" xfId="2421"/>
    <cellStyle name="Normal 8 62" xfId="2422"/>
    <cellStyle name="Normal 8 63" xfId="2423"/>
    <cellStyle name="Normal 8 64" xfId="2424"/>
    <cellStyle name="Normal 8 65" xfId="2425"/>
    <cellStyle name="Normal 8 66" xfId="2426"/>
    <cellStyle name="Normal 8 67" xfId="2427"/>
    <cellStyle name="Normal 8 68" xfId="2428"/>
    <cellStyle name="Normal 8 69" xfId="2429"/>
    <cellStyle name="Normal 8 7" xfId="2430"/>
    <cellStyle name="Normal 8 70" xfId="2431"/>
    <cellStyle name="Normal 8 71" xfId="2432"/>
    <cellStyle name="Normal 8 72" xfId="2433"/>
    <cellStyle name="Normal 8 73" xfId="2434"/>
    <cellStyle name="Normal 8 74" xfId="2435"/>
    <cellStyle name="Normal 8 8" xfId="2436"/>
    <cellStyle name="Normal 8 9" xfId="2437"/>
    <cellStyle name="Normal 9" xfId="48"/>
    <cellStyle name="Normal 9 2" xfId="2879"/>
    <cellStyle name="Normal 9 3" xfId="2438"/>
    <cellStyle name="Note" xfId="74" builtinId="10" customBuiltin="1"/>
    <cellStyle name="Output" xfId="69" builtinId="21" customBuiltin="1"/>
    <cellStyle name="Output Line Items" xfId="33"/>
    <cellStyle name="Percent" xfId="3" builtinId="5"/>
    <cellStyle name="Percent [2]" xfId="34"/>
    <cellStyle name="Percent [2] 2" xfId="124"/>
    <cellStyle name="Percent 10" xfId="2439"/>
    <cellStyle name="Percent 2" xfId="21"/>
    <cellStyle name="Percent 2 2" xfId="22"/>
    <cellStyle name="Percent 2 2 2" xfId="23"/>
    <cellStyle name="Percent 2 2 2 2" xfId="120"/>
    <cellStyle name="Percent 2 2 3" xfId="119"/>
    <cellStyle name="Percent 2 3" xfId="24"/>
    <cellStyle name="Percent 2 3 2" xfId="121"/>
    <cellStyle name="Percent 2 4" xfId="118"/>
    <cellStyle name="Percent 2 60" xfId="2440"/>
    <cellStyle name="Percent 3" xfId="27"/>
    <cellStyle name="Percent 3 10" xfId="2442"/>
    <cellStyle name="Percent 3 11" xfId="2443"/>
    <cellStyle name="Percent 3 12" xfId="2444"/>
    <cellStyle name="Percent 3 13" xfId="2445"/>
    <cellStyle name="Percent 3 14" xfId="2446"/>
    <cellStyle name="Percent 3 15" xfId="2447"/>
    <cellStyle name="Percent 3 16" xfId="2448"/>
    <cellStyle name="Percent 3 17" xfId="2449"/>
    <cellStyle name="Percent 3 18" xfId="2450"/>
    <cellStyle name="Percent 3 19" xfId="2451"/>
    <cellStyle name="Percent 3 2" xfId="44"/>
    <cellStyle name="Percent 3 2 2" xfId="2872"/>
    <cellStyle name="Percent 3 2 3" xfId="2452"/>
    <cellStyle name="Percent 3 20" xfId="2453"/>
    <cellStyle name="Percent 3 21" xfId="2454"/>
    <cellStyle name="Percent 3 22" xfId="2455"/>
    <cellStyle name="Percent 3 23" xfId="2456"/>
    <cellStyle name="Percent 3 24" xfId="2457"/>
    <cellStyle name="Percent 3 25" xfId="2458"/>
    <cellStyle name="Percent 3 26" xfId="2459"/>
    <cellStyle name="Percent 3 27" xfId="2460"/>
    <cellStyle name="Percent 3 28" xfId="2461"/>
    <cellStyle name="Percent 3 29" xfId="2462"/>
    <cellStyle name="Percent 3 3" xfId="2463"/>
    <cellStyle name="Percent 3 30" xfId="2464"/>
    <cellStyle name="Percent 3 31" xfId="2465"/>
    <cellStyle name="Percent 3 32" xfId="2466"/>
    <cellStyle name="Percent 3 33" xfId="2467"/>
    <cellStyle name="Percent 3 34" xfId="2468"/>
    <cellStyle name="Percent 3 35" xfId="2469"/>
    <cellStyle name="Percent 3 36" xfId="2470"/>
    <cellStyle name="Percent 3 37" xfId="2471"/>
    <cellStyle name="Percent 3 38" xfId="2472"/>
    <cellStyle name="Percent 3 39" xfId="2473"/>
    <cellStyle name="Percent 3 4" xfId="2474"/>
    <cellStyle name="Percent 3 40" xfId="2475"/>
    <cellStyle name="Percent 3 41" xfId="2476"/>
    <cellStyle name="Percent 3 42" xfId="2477"/>
    <cellStyle name="Percent 3 43" xfId="2478"/>
    <cellStyle name="Percent 3 44" xfId="2479"/>
    <cellStyle name="Percent 3 45" xfId="2480"/>
    <cellStyle name="Percent 3 46" xfId="2481"/>
    <cellStyle name="Percent 3 47" xfId="2482"/>
    <cellStyle name="Percent 3 48" xfId="2483"/>
    <cellStyle name="Percent 3 49" xfId="2484"/>
    <cellStyle name="Percent 3 5" xfId="2485"/>
    <cellStyle name="Percent 3 50" xfId="2486"/>
    <cellStyle name="Percent 3 51" xfId="2487"/>
    <cellStyle name="Percent 3 52" xfId="2488"/>
    <cellStyle name="Percent 3 53" xfId="2489"/>
    <cellStyle name="Percent 3 54" xfId="2490"/>
    <cellStyle name="Percent 3 55" xfId="2491"/>
    <cellStyle name="Percent 3 56" xfId="2492"/>
    <cellStyle name="Percent 3 57" xfId="2493"/>
    <cellStyle name="Percent 3 58" xfId="2494"/>
    <cellStyle name="Percent 3 59" xfId="2495"/>
    <cellStyle name="Percent 3 6" xfId="2496"/>
    <cellStyle name="Percent 3 60" xfId="2497"/>
    <cellStyle name="Percent 3 61" xfId="2498"/>
    <cellStyle name="Percent 3 62" xfId="2499"/>
    <cellStyle name="Percent 3 63" xfId="2500"/>
    <cellStyle name="Percent 3 64" xfId="2868"/>
    <cellStyle name="Percent 3 65" xfId="2441"/>
    <cellStyle name="Percent 3 7" xfId="2501"/>
    <cellStyle name="Percent 3 8" xfId="2502"/>
    <cellStyle name="Percent 3 9" xfId="2503"/>
    <cellStyle name="Percent 4" xfId="20"/>
    <cellStyle name="Percent 4 10" xfId="2504"/>
    <cellStyle name="Percent 4 11" xfId="2505"/>
    <cellStyle name="Percent 4 12" xfId="2506"/>
    <cellStyle name="Percent 4 13" xfId="2507"/>
    <cellStyle name="Percent 4 14" xfId="2508"/>
    <cellStyle name="Percent 4 15" xfId="2509"/>
    <cellStyle name="Percent 4 16" xfId="2510"/>
    <cellStyle name="Percent 4 17" xfId="2511"/>
    <cellStyle name="Percent 4 18" xfId="2512"/>
    <cellStyle name="Percent 4 19" xfId="2513"/>
    <cellStyle name="Percent 4 2" xfId="117"/>
    <cellStyle name="Percent 4 20" xfId="2514"/>
    <cellStyle name="Percent 4 21" xfId="2515"/>
    <cellStyle name="Percent 4 22" xfId="2516"/>
    <cellStyle name="Percent 4 23" xfId="2517"/>
    <cellStyle name="Percent 4 24" xfId="2518"/>
    <cellStyle name="Percent 4 25" xfId="2519"/>
    <cellStyle name="Percent 4 26" xfId="2520"/>
    <cellStyle name="Percent 4 27" xfId="2521"/>
    <cellStyle name="Percent 4 28" xfId="2522"/>
    <cellStyle name="Percent 4 29" xfId="2523"/>
    <cellStyle name="Percent 4 3" xfId="2524"/>
    <cellStyle name="Percent 4 30" xfId="2525"/>
    <cellStyle name="Percent 4 31" xfId="2526"/>
    <cellStyle name="Percent 4 32" xfId="2527"/>
    <cellStyle name="Percent 4 33" xfId="2528"/>
    <cellStyle name="Percent 4 34" xfId="2529"/>
    <cellStyle name="Percent 4 35" xfId="2530"/>
    <cellStyle name="Percent 4 36" xfId="2531"/>
    <cellStyle name="Percent 4 37" xfId="2532"/>
    <cellStyle name="Percent 4 38" xfId="2533"/>
    <cellStyle name="Percent 4 39" xfId="2534"/>
    <cellStyle name="Percent 4 4" xfId="2535"/>
    <cellStyle name="Percent 4 40" xfId="2536"/>
    <cellStyle name="Percent 4 41" xfId="2537"/>
    <cellStyle name="Percent 4 42" xfId="2538"/>
    <cellStyle name="Percent 4 43" xfId="2539"/>
    <cellStyle name="Percent 4 44" xfId="2540"/>
    <cellStyle name="Percent 4 45" xfId="2541"/>
    <cellStyle name="Percent 4 46" xfId="2542"/>
    <cellStyle name="Percent 4 47" xfId="2543"/>
    <cellStyle name="Percent 4 48" xfId="2544"/>
    <cellStyle name="Percent 4 49" xfId="2545"/>
    <cellStyle name="Percent 4 5" xfId="2546"/>
    <cellStyle name="Percent 4 50" xfId="2547"/>
    <cellStyle name="Percent 4 51" xfId="2548"/>
    <cellStyle name="Percent 4 52" xfId="2549"/>
    <cellStyle name="Percent 4 53" xfId="2550"/>
    <cellStyle name="Percent 4 54" xfId="2551"/>
    <cellStyle name="Percent 4 55" xfId="2552"/>
    <cellStyle name="Percent 4 56" xfId="2553"/>
    <cellStyle name="Percent 4 57" xfId="2554"/>
    <cellStyle name="Percent 4 58" xfId="2555"/>
    <cellStyle name="Percent 4 59" xfId="2556"/>
    <cellStyle name="Percent 4 6" xfId="2557"/>
    <cellStyle name="Percent 4 60" xfId="2558"/>
    <cellStyle name="Percent 4 61" xfId="2559"/>
    <cellStyle name="Percent 4 62" xfId="2560"/>
    <cellStyle name="Percent 4 63" xfId="2561"/>
    <cellStyle name="Percent 4 7" xfId="2562"/>
    <cellStyle name="Percent 4 8" xfId="2563"/>
    <cellStyle name="Percent 4 9" xfId="2564"/>
    <cellStyle name="Percent 5" xfId="51"/>
    <cellStyle name="Percent 5 10" xfId="2566"/>
    <cellStyle name="Percent 5 11" xfId="2567"/>
    <cellStyle name="Percent 5 12" xfId="2568"/>
    <cellStyle name="Percent 5 13" xfId="2569"/>
    <cellStyle name="Percent 5 14" xfId="2570"/>
    <cellStyle name="Percent 5 15" xfId="2571"/>
    <cellStyle name="Percent 5 16" xfId="2572"/>
    <cellStyle name="Percent 5 17" xfId="2573"/>
    <cellStyle name="Percent 5 18" xfId="2574"/>
    <cellStyle name="Percent 5 19" xfId="2575"/>
    <cellStyle name="Percent 5 2" xfId="134"/>
    <cellStyle name="Percent 5 2 2" xfId="158"/>
    <cellStyle name="Percent 5 20" xfId="2576"/>
    <cellStyle name="Percent 5 21" xfId="2577"/>
    <cellStyle name="Percent 5 22" xfId="2578"/>
    <cellStyle name="Percent 5 23" xfId="2579"/>
    <cellStyle name="Percent 5 24" xfId="2580"/>
    <cellStyle name="Percent 5 25" xfId="2581"/>
    <cellStyle name="Percent 5 26" xfId="2582"/>
    <cellStyle name="Percent 5 27" xfId="2583"/>
    <cellStyle name="Percent 5 28" xfId="2584"/>
    <cellStyle name="Percent 5 29" xfId="2585"/>
    <cellStyle name="Percent 5 3" xfId="2586"/>
    <cellStyle name="Percent 5 30" xfId="2587"/>
    <cellStyle name="Percent 5 31" xfId="2588"/>
    <cellStyle name="Percent 5 32" xfId="2589"/>
    <cellStyle name="Percent 5 33" xfId="2590"/>
    <cellStyle name="Percent 5 34" xfId="2591"/>
    <cellStyle name="Percent 5 35" xfId="2592"/>
    <cellStyle name="Percent 5 36" xfId="2593"/>
    <cellStyle name="Percent 5 37" xfId="2594"/>
    <cellStyle name="Percent 5 38" xfId="2595"/>
    <cellStyle name="Percent 5 39" xfId="2596"/>
    <cellStyle name="Percent 5 4" xfId="2597"/>
    <cellStyle name="Percent 5 40" xfId="2598"/>
    <cellStyle name="Percent 5 41" xfId="2599"/>
    <cellStyle name="Percent 5 42" xfId="2600"/>
    <cellStyle name="Percent 5 43" xfId="2601"/>
    <cellStyle name="Percent 5 44" xfId="2602"/>
    <cellStyle name="Percent 5 45" xfId="2603"/>
    <cellStyle name="Percent 5 46" xfId="2604"/>
    <cellStyle name="Percent 5 47" xfId="2605"/>
    <cellStyle name="Percent 5 48" xfId="2606"/>
    <cellStyle name="Percent 5 49" xfId="2607"/>
    <cellStyle name="Percent 5 5" xfId="2608"/>
    <cellStyle name="Percent 5 50" xfId="2609"/>
    <cellStyle name="Percent 5 51" xfId="2610"/>
    <cellStyle name="Percent 5 52" xfId="2611"/>
    <cellStyle name="Percent 5 53" xfId="2612"/>
    <cellStyle name="Percent 5 54" xfId="2613"/>
    <cellStyle name="Percent 5 55" xfId="2614"/>
    <cellStyle name="Percent 5 56" xfId="2615"/>
    <cellStyle name="Percent 5 57" xfId="2616"/>
    <cellStyle name="Percent 5 58" xfId="2617"/>
    <cellStyle name="Percent 5 59" xfId="2618"/>
    <cellStyle name="Percent 5 6" xfId="2619"/>
    <cellStyle name="Percent 5 60" xfId="2620"/>
    <cellStyle name="Percent 5 61" xfId="2621"/>
    <cellStyle name="Percent 5 62" xfId="2622"/>
    <cellStyle name="Percent 5 63" xfId="2623"/>
    <cellStyle name="Percent 5 64" xfId="2624"/>
    <cellStyle name="Percent 5 65" xfId="2625"/>
    <cellStyle name="Percent 5 66" xfId="2876"/>
    <cellStyle name="Percent 5 67" xfId="2565"/>
    <cellStyle name="Percent 5 68" xfId="154"/>
    <cellStyle name="Percent 5 7" xfId="2626"/>
    <cellStyle name="Percent 5 8" xfId="2627"/>
    <cellStyle name="Percent 5 9" xfId="2628"/>
    <cellStyle name="Percent 6" xfId="58"/>
    <cellStyle name="Percent 6 10" xfId="2629"/>
    <cellStyle name="Percent 6 11" xfId="2630"/>
    <cellStyle name="Percent 6 12" xfId="2631"/>
    <cellStyle name="Percent 6 13" xfId="2632"/>
    <cellStyle name="Percent 6 14" xfId="2633"/>
    <cellStyle name="Percent 6 15" xfId="2634"/>
    <cellStyle name="Percent 6 16" xfId="2635"/>
    <cellStyle name="Percent 6 17" xfId="2636"/>
    <cellStyle name="Percent 6 18" xfId="2637"/>
    <cellStyle name="Percent 6 19" xfId="2638"/>
    <cellStyle name="Percent 6 2" xfId="149"/>
    <cellStyle name="Percent 6 20" xfId="2639"/>
    <cellStyle name="Percent 6 21" xfId="2640"/>
    <cellStyle name="Percent 6 22" xfId="2641"/>
    <cellStyle name="Percent 6 23" xfId="2642"/>
    <cellStyle name="Percent 6 24" xfId="2643"/>
    <cellStyle name="Percent 6 25" xfId="2644"/>
    <cellStyle name="Percent 6 26" xfId="2645"/>
    <cellStyle name="Percent 6 27" xfId="2646"/>
    <cellStyle name="Percent 6 28" xfId="2647"/>
    <cellStyle name="Percent 6 29" xfId="2648"/>
    <cellStyle name="Percent 6 3" xfId="2649"/>
    <cellStyle name="Percent 6 30" xfId="2650"/>
    <cellStyle name="Percent 6 31" xfId="2651"/>
    <cellStyle name="Percent 6 32" xfId="2652"/>
    <cellStyle name="Percent 6 33" xfId="2653"/>
    <cellStyle name="Percent 6 34" xfId="2654"/>
    <cellStyle name="Percent 6 35" xfId="2655"/>
    <cellStyle name="Percent 6 36" xfId="2656"/>
    <cellStyle name="Percent 6 37" xfId="2657"/>
    <cellStyle name="Percent 6 38" xfId="2658"/>
    <cellStyle name="Percent 6 39" xfId="2659"/>
    <cellStyle name="Percent 6 4" xfId="2660"/>
    <cellStyle name="Percent 6 40" xfId="2661"/>
    <cellStyle name="Percent 6 41" xfId="2662"/>
    <cellStyle name="Percent 6 42" xfId="2663"/>
    <cellStyle name="Percent 6 43" xfId="2664"/>
    <cellStyle name="Percent 6 44" xfId="2665"/>
    <cellStyle name="Percent 6 45" xfId="2666"/>
    <cellStyle name="Percent 6 46" xfId="2667"/>
    <cellStyle name="Percent 6 47" xfId="2668"/>
    <cellStyle name="Percent 6 48" xfId="2669"/>
    <cellStyle name="Percent 6 49" xfId="2670"/>
    <cellStyle name="Percent 6 5" xfId="2671"/>
    <cellStyle name="Percent 6 50" xfId="2672"/>
    <cellStyle name="Percent 6 51" xfId="2673"/>
    <cellStyle name="Percent 6 52" xfId="2674"/>
    <cellStyle name="Percent 6 53" xfId="2675"/>
    <cellStyle name="Percent 6 54" xfId="2676"/>
    <cellStyle name="Percent 6 55" xfId="2677"/>
    <cellStyle name="Percent 6 56" xfId="2678"/>
    <cellStyle name="Percent 6 57" xfId="2679"/>
    <cellStyle name="Percent 6 58" xfId="2680"/>
    <cellStyle name="Percent 6 59" xfId="2681"/>
    <cellStyle name="Percent 6 6" xfId="2682"/>
    <cellStyle name="Percent 6 60" xfId="2683"/>
    <cellStyle name="Percent 6 61" xfId="2684"/>
    <cellStyle name="Percent 6 62" xfId="2685"/>
    <cellStyle name="Percent 6 63" xfId="2686"/>
    <cellStyle name="Percent 6 7" xfId="2687"/>
    <cellStyle name="Percent 6 8" xfId="2688"/>
    <cellStyle name="Percent 6 9" xfId="2689"/>
    <cellStyle name="Percent 7" xfId="59"/>
    <cellStyle name="Percent 7 10" xfId="2690"/>
    <cellStyle name="Percent 7 11" xfId="2691"/>
    <cellStyle name="Percent 7 12" xfId="2692"/>
    <cellStyle name="Percent 7 13" xfId="2693"/>
    <cellStyle name="Percent 7 14" xfId="2694"/>
    <cellStyle name="Percent 7 15" xfId="2695"/>
    <cellStyle name="Percent 7 16" xfId="2696"/>
    <cellStyle name="Percent 7 17" xfId="2697"/>
    <cellStyle name="Percent 7 18" xfId="2698"/>
    <cellStyle name="Percent 7 19" xfId="2699"/>
    <cellStyle name="Percent 7 2" xfId="150"/>
    <cellStyle name="Percent 7 20" xfId="2700"/>
    <cellStyle name="Percent 7 21" xfId="2701"/>
    <cellStyle name="Percent 7 22" xfId="2702"/>
    <cellStyle name="Percent 7 23" xfId="2703"/>
    <cellStyle name="Percent 7 24" xfId="2704"/>
    <cellStyle name="Percent 7 25" xfId="2705"/>
    <cellStyle name="Percent 7 26" xfId="2706"/>
    <cellStyle name="Percent 7 27" xfId="2707"/>
    <cellStyle name="Percent 7 28" xfId="2708"/>
    <cellStyle name="Percent 7 29" xfId="2709"/>
    <cellStyle name="Percent 7 3" xfId="2710"/>
    <cellStyle name="Percent 7 3 10" xfId="2711"/>
    <cellStyle name="Percent 7 3 11" xfId="2712"/>
    <cellStyle name="Percent 7 3 12" xfId="2713"/>
    <cellStyle name="Percent 7 3 13" xfId="2714"/>
    <cellStyle name="Percent 7 3 14" xfId="2715"/>
    <cellStyle name="Percent 7 3 15" xfId="2716"/>
    <cellStyle name="Percent 7 3 16" xfId="2717"/>
    <cellStyle name="Percent 7 3 17" xfId="2718"/>
    <cellStyle name="Percent 7 3 18" xfId="2719"/>
    <cellStyle name="Percent 7 3 19" xfId="2720"/>
    <cellStyle name="Percent 7 3 2" xfId="2721"/>
    <cellStyle name="Percent 7 3 20" xfId="2722"/>
    <cellStyle name="Percent 7 3 21" xfId="2723"/>
    <cellStyle name="Percent 7 3 22" xfId="2724"/>
    <cellStyle name="Percent 7 3 23" xfId="2725"/>
    <cellStyle name="Percent 7 3 24" xfId="2726"/>
    <cellStyle name="Percent 7 3 25" xfId="2727"/>
    <cellStyle name="Percent 7 3 26" xfId="2728"/>
    <cellStyle name="Percent 7 3 3" xfId="2729"/>
    <cellStyle name="Percent 7 3 4" xfId="2730"/>
    <cellStyle name="Percent 7 3 5" xfId="2731"/>
    <cellStyle name="Percent 7 3 6" xfId="2732"/>
    <cellStyle name="Percent 7 3 7" xfId="2733"/>
    <cellStyle name="Percent 7 3 8" xfId="2734"/>
    <cellStyle name="Percent 7 3 9" xfId="2735"/>
    <cellStyle name="Percent 7 30" xfId="2736"/>
    <cellStyle name="Percent 7 31" xfId="2737"/>
    <cellStyle name="Percent 7 32" xfId="2738"/>
    <cellStyle name="Percent 7 33" xfId="2739"/>
    <cellStyle name="Percent 7 34" xfId="2740"/>
    <cellStyle name="Percent 7 35" xfId="2741"/>
    <cellStyle name="Percent 7 36" xfId="2742"/>
    <cellStyle name="Percent 7 37" xfId="2743"/>
    <cellStyle name="Percent 7 38" xfId="2744"/>
    <cellStyle name="Percent 7 39" xfId="2745"/>
    <cellStyle name="Percent 7 4" xfId="2746"/>
    <cellStyle name="Percent 7 40" xfId="2747"/>
    <cellStyle name="Percent 7 41" xfId="2748"/>
    <cellStyle name="Percent 7 42" xfId="2749"/>
    <cellStyle name="Percent 7 43" xfId="2750"/>
    <cellStyle name="Percent 7 44" xfId="2751"/>
    <cellStyle name="Percent 7 45" xfId="2752"/>
    <cellStyle name="Percent 7 46" xfId="2753"/>
    <cellStyle name="Percent 7 47" xfId="2754"/>
    <cellStyle name="Percent 7 48" xfId="2755"/>
    <cellStyle name="Percent 7 49" xfId="2756"/>
    <cellStyle name="Percent 7 5" xfId="2757"/>
    <cellStyle name="Percent 7 5 10" xfId="2758"/>
    <cellStyle name="Percent 7 5 11" xfId="2759"/>
    <cellStyle name="Percent 7 5 12" xfId="2760"/>
    <cellStyle name="Percent 7 5 13" xfId="2761"/>
    <cellStyle name="Percent 7 5 14" xfId="2762"/>
    <cellStyle name="Percent 7 5 15" xfId="2763"/>
    <cellStyle name="Percent 7 5 16" xfId="2764"/>
    <cellStyle name="Percent 7 5 17" xfId="2765"/>
    <cellStyle name="Percent 7 5 18" xfId="2766"/>
    <cellStyle name="Percent 7 5 19" xfId="2767"/>
    <cellStyle name="Percent 7 5 2" xfId="2768"/>
    <cellStyle name="Percent 7 5 20" xfId="2769"/>
    <cellStyle name="Percent 7 5 21" xfId="2770"/>
    <cellStyle name="Percent 7 5 22" xfId="2771"/>
    <cellStyle name="Percent 7 5 23" xfId="2772"/>
    <cellStyle name="Percent 7 5 24" xfId="2773"/>
    <cellStyle name="Percent 7 5 25" xfId="2774"/>
    <cellStyle name="Percent 7 5 26" xfId="2775"/>
    <cellStyle name="Percent 7 5 27" xfId="2776"/>
    <cellStyle name="Percent 7 5 28" xfId="2777"/>
    <cellStyle name="Percent 7 5 29" xfId="2778"/>
    <cellStyle name="Percent 7 5 3" xfId="2779"/>
    <cellStyle name="Percent 7 5 30" xfId="2780"/>
    <cellStyle name="Percent 7 5 31" xfId="2781"/>
    <cellStyle name="Percent 7 5 32" xfId="2782"/>
    <cellStyle name="Percent 7 5 33" xfId="2783"/>
    <cellStyle name="Percent 7 5 34" xfId="2784"/>
    <cellStyle name="Percent 7 5 35" xfId="2785"/>
    <cellStyle name="Percent 7 5 36" xfId="2786"/>
    <cellStyle name="Percent 7 5 37" xfId="2787"/>
    <cellStyle name="Percent 7 5 38" xfId="2788"/>
    <cellStyle name="Percent 7 5 39" xfId="2789"/>
    <cellStyle name="Percent 7 5 4" xfId="2790"/>
    <cellStyle name="Percent 7 5 40" xfId="2791"/>
    <cellStyle name="Percent 7 5 41" xfId="2792"/>
    <cellStyle name="Percent 7 5 42" xfId="2793"/>
    <cellStyle name="Percent 7 5 43" xfId="2794"/>
    <cellStyle name="Percent 7 5 44" xfId="2795"/>
    <cellStyle name="Percent 7 5 45" xfId="2796"/>
    <cellStyle name="Percent 7 5 46" xfId="2797"/>
    <cellStyle name="Percent 7 5 47" xfId="2798"/>
    <cellStyle name="Percent 7 5 48" xfId="2799"/>
    <cellStyle name="Percent 7 5 49" xfId="2800"/>
    <cellStyle name="Percent 7 5 5" xfId="2801"/>
    <cellStyle name="Percent 7 5 50" xfId="2802"/>
    <cellStyle name="Percent 7 5 51" xfId="2803"/>
    <cellStyle name="Percent 7 5 52" xfId="2804"/>
    <cellStyle name="Percent 7 5 53" xfId="2805"/>
    <cellStyle name="Percent 7 5 54" xfId="2806"/>
    <cellStyle name="Percent 7 5 55" xfId="2807"/>
    <cellStyle name="Percent 7 5 56" xfId="2808"/>
    <cellStyle name="Percent 7 5 57" xfId="2809"/>
    <cellStyle name="Percent 7 5 58" xfId="2810"/>
    <cellStyle name="Percent 7 5 59" xfId="2811"/>
    <cellStyle name="Percent 7 5 6" xfId="2812"/>
    <cellStyle name="Percent 7 5 60" xfId="2813"/>
    <cellStyle name="Percent 7 5 61" xfId="2814"/>
    <cellStyle name="Percent 7 5 62" xfId="2815"/>
    <cellStyle name="Percent 7 5 63" xfId="2816"/>
    <cellStyle name="Percent 7 5 64" xfId="2817"/>
    <cellStyle name="Percent 7 5 65" xfId="2818"/>
    <cellStyle name="Percent 7 5 66" xfId="2819"/>
    <cellStyle name="Percent 7 5 67" xfId="2820"/>
    <cellStyle name="Percent 7 5 68" xfId="2821"/>
    <cellStyle name="Percent 7 5 69" xfId="2822"/>
    <cellStyle name="Percent 7 5 7" xfId="2823"/>
    <cellStyle name="Percent 7 5 70" xfId="2824"/>
    <cellStyle name="Percent 7 5 71" xfId="2825"/>
    <cellStyle name="Percent 7 5 8" xfId="2826"/>
    <cellStyle name="Percent 7 5 9" xfId="2827"/>
    <cellStyle name="Percent 7 50" xfId="2828"/>
    <cellStyle name="Percent 7 51" xfId="2829"/>
    <cellStyle name="Percent 7 52" xfId="2830"/>
    <cellStyle name="Percent 7 53" xfId="2831"/>
    <cellStyle name="Percent 7 54" xfId="2832"/>
    <cellStyle name="Percent 7 55" xfId="2833"/>
    <cellStyle name="Percent 7 56" xfId="2834"/>
    <cellStyle name="Percent 7 57" xfId="2835"/>
    <cellStyle name="Percent 7 58" xfId="2836"/>
    <cellStyle name="Percent 7 59" xfId="2837"/>
    <cellStyle name="Percent 7 6" xfId="2838"/>
    <cellStyle name="Percent 7 60" xfId="2839"/>
    <cellStyle name="Percent 7 60 2" xfId="2840"/>
    <cellStyle name="Percent 7 60 3" xfId="2841"/>
    <cellStyle name="Percent 7 60 3 2" xfId="2842"/>
    <cellStyle name="Percent 7 61" xfId="2843"/>
    <cellStyle name="Percent 7 62" xfId="2844"/>
    <cellStyle name="Percent 7 63" xfId="2845"/>
    <cellStyle name="Percent 7 64" xfId="2846"/>
    <cellStyle name="Percent 7 65" xfId="2847"/>
    <cellStyle name="Percent 7 66" xfId="2848"/>
    <cellStyle name="Percent 7 67" xfId="2849"/>
    <cellStyle name="Percent 7 68" xfId="2850"/>
    <cellStyle name="Percent 7 69" xfId="2851"/>
    <cellStyle name="Percent 7 7" xfId="2852"/>
    <cellStyle name="Percent 7 70" xfId="2853"/>
    <cellStyle name="Percent 7 71" xfId="2854"/>
    <cellStyle name="Percent 7 72" xfId="2855"/>
    <cellStyle name="Percent 7 73" xfId="2856"/>
    <cellStyle name="Percent 7 74" xfId="2857"/>
    <cellStyle name="Percent 7 8" xfId="2858"/>
    <cellStyle name="Percent 7 9" xfId="2859"/>
    <cellStyle name="Percent 8" xfId="2860"/>
    <cellStyle name="Rule (bottom)" xfId="2861"/>
    <cellStyle name="Rule (bottom) 3" xfId="142"/>
    <cellStyle name="Rule (bottom) 3 2" xfId="144"/>
    <cellStyle name="Rule (bottom, heavy)" xfId="2862"/>
    <cellStyle name="Shaded" xfId="55"/>
    <cellStyle name="Shaded 2" xfId="2880"/>
    <cellStyle name="Shaded 2 2" xfId="54"/>
    <cellStyle name="SPOl" xfId="35"/>
    <cellStyle name="Style 1" xfId="36"/>
    <cellStyle name="Style 1 2" xfId="2870"/>
    <cellStyle name="Style 1 3" xfId="2863"/>
    <cellStyle name="Style 2" xfId="37"/>
    <cellStyle name="Style 2 2" xfId="125"/>
    <cellStyle name="Style 3" xfId="38"/>
    <cellStyle name="Style 3 2" xfId="126"/>
    <cellStyle name="Style 4" xfId="39"/>
    <cellStyle name="Style 4 2" xfId="127"/>
    <cellStyle name="Style 5" xfId="40"/>
    <cellStyle name="Style 5 2" xfId="128"/>
    <cellStyle name="Style 6" xfId="41"/>
    <cellStyle name="Style 6 2" xfId="129"/>
    <cellStyle name="Text" xfId="2864"/>
    <cellStyle name="Title" xfId="60" builtinId="15" customBuiltin="1"/>
    <cellStyle name="Title 2" xfId="2865"/>
    <cellStyle name="Title 3" xfId="159"/>
    <cellStyle name="Title 7" xfId="139"/>
    <cellStyle name="Total" xfId="76" builtinId="25" customBuiltin="1"/>
    <cellStyle name="Warning Text" xfId="73" builtinId="11" customBuiltin="1"/>
    <cellStyle name="Year" xfId="286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Brattle">
  <a:themeElements>
    <a:clrScheme name="Brattle 2015">
      <a:dk1>
        <a:srgbClr val="000000"/>
      </a:dk1>
      <a:lt1>
        <a:srgbClr val="FFFFFF"/>
      </a:lt1>
      <a:dk2>
        <a:srgbClr val="FFFFFF"/>
      </a:dk2>
      <a:lt2>
        <a:srgbClr val="00467F"/>
      </a:lt2>
      <a:accent1>
        <a:srgbClr val="002B54"/>
      </a:accent1>
      <a:accent2>
        <a:srgbClr val="7FB9C2"/>
      </a:accent2>
      <a:accent3>
        <a:srgbClr val="6A7277"/>
      </a:accent3>
      <a:accent4>
        <a:srgbClr val="EF4623"/>
      </a:accent4>
      <a:accent5>
        <a:srgbClr val="00467F"/>
      </a:accent5>
      <a:accent6>
        <a:srgbClr val="CCCDC3"/>
      </a:accent6>
      <a:hlink>
        <a:srgbClr val="7FB9C2"/>
      </a:hlink>
      <a:folHlink>
        <a:srgbClr val="00467F"/>
      </a:folHlink>
    </a:clrScheme>
    <a:fontScheme name="Brattle 2015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showGridLines="0" workbookViewId="0"/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Normal="100" workbookViewId="0"/>
  </sheetViews>
  <sheetFormatPr defaultRowHeight="14.5" outlineLevelRow="1" x14ac:dyDescent="0.35"/>
  <cols>
    <col min="2" max="2" width="16.7265625" customWidth="1"/>
    <col min="3" max="3" width="16.7265625" style="71" customWidth="1"/>
    <col min="4" max="4" width="13.7265625" customWidth="1"/>
    <col min="5" max="5" width="10.26953125" customWidth="1"/>
    <col min="7" max="7" width="9.54296875" bestFit="1" customWidth="1"/>
  </cols>
  <sheetData>
    <row r="1" spans="1:17" s="29" customFormat="1" ht="15" outlineLevel="1" x14ac:dyDescent="0.25">
      <c r="C1" s="29">
        <v>65</v>
      </c>
      <c r="D1" s="29">
        <f>MAX($C$1:C1)+1</f>
        <v>66</v>
      </c>
      <c r="E1" s="29">
        <f>MAX($C$1:D1)+1</f>
        <v>67</v>
      </c>
      <c r="F1" s="29">
        <f>MAX($C$1:E1)+1</f>
        <v>68</v>
      </c>
    </row>
    <row r="2" spans="1:17" s="29" customFormat="1" outlineLevel="1" x14ac:dyDescent="0.3">
      <c r="C2" s="29">
        <v>2017</v>
      </c>
    </row>
    <row r="4" spans="1:17" ht="38.25" customHeight="1" x14ac:dyDescent="0.45">
      <c r="A4" s="70"/>
      <c r="B4" s="235" t="s">
        <v>94</v>
      </c>
      <c r="C4" s="235"/>
      <c r="D4" s="235"/>
      <c r="E4" s="235"/>
      <c r="F4" s="235"/>
      <c r="G4" s="235"/>
      <c r="M4" s="60"/>
      <c r="N4" s="55"/>
      <c r="O4" s="58"/>
      <c r="P4" s="69"/>
      <c r="Q4" s="69"/>
    </row>
    <row r="5" spans="1:17" ht="6" customHeight="1" thickBot="1" x14ac:dyDescent="0.4">
      <c r="A5" s="70"/>
      <c r="B5" s="72"/>
      <c r="C5" s="72"/>
      <c r="D5" s="72"/>
      <c r="E5" s="72"/>
      <c r="F5" s="72"/>
      <c r="G5" s="72"/>
      <c r="M5" s="73"/>
      <c r="N5" s="73"/>
      <c r="O5" s="73"/>
      <c r="P5" s="73"/>
      <c r="Q5" s="73"/>
    </row>
    <row r="6" spans="1:17" ht="6" customHeight="1" thickTop="1" x14ac:dyDescent="0.35">
      <c r="A6" s="70"/>
      <c r="B6" s="71"/>
      <c r="D6" s="71"/>
      <c r="E6" s="71"/>
      <c r="F6" s="71"/>
      <c r="G6" s="71"/>
      <c r="M6" s="73"/>
      <c r="N6" s="73"/>
      <c r="O6" s="73"/>
      <c r="P6" s="73"/>
      <c r="Q6" s="73"/>
    </row>
    <row r="7" spans="1:17" ht="29" x14ac:dyDescent="0.35">
      <c r="A7" s="70"/>
      <c r="B7" s="79" t="s">
        <v>72</v>
      </c>
      <c r="C7" s="80" t="s">
        <v>6</v>
      </c>
      <c r="D7" s="80" t="s">
        <v>73</v>
      </c>
      <c r="E7" s="80" t="s">
        <v>67</v>
      </c>
      <c r="F7" s="151" t="s">
        <v>68</v>
      </c>
      <c r="G7" s="152" t="s">
        <v>69</v>
      </c>
      <c r="M7" s="81"/>
      <c r="N7" s="63"/>
      <c r="O7" s="63"/>
      <c r="P7" s="76"/>
      <c r="Q7" s="63"/>
    </row>
    <row r="8" spans="1:17" x14ac:dyDescent="0.35">
      <c r="A8" s="70"/>
      <c r="B8" s="83" t="s">
        <v>74</v>
      </c>
      <c r="C8" s="75" t="s">
        <v>75</v>
      </c>
      <c r="D8" s="75" t="s">
        <v>76</v>
      </c>
      <c r="E8" s="75" t="s">
        <v>77</v>
      </c>
      <c r="F8" s="75" t="s">
        <v>78</v>
      </c>
      <c r="G8" s="75" t="s">
        <v>79</v>
      </c>
      <c r="M8" s="84"/>
      <c r="N8" s="76"/>
      <c r="O8" s="76"/>
      <c r="P8" s="76"/>
      <c r="Q8" s="76"/>
    </row>
    <row r="9" spans="1:17" ht="6" customHeight="1" x14ac:dyDescent="0.35">
      <c r="A9" s="70"/>
      <c r="B9" s="73"/>
      <c r="C9" s="73"/>
      <c r="D9" s="81"/>
      <c r="E9" s="81"/>
      <c r="F9" s="81"/>
      <c r="G9" s="81"/>
      <c r="M9" s="73"/>
      <c r="N9" s="81"/>
      <c r="O9" s="81"/>
      <c r="P9" s="81"/>
      <c r="Q9" s="81"/>
    </row>
    <row r="10" spans="1:17" x14ac:dyDescent="0.35">
      <c r="A10" s="70"/>
      <c r="B10" s="85" t="s">
        <v>1</v>
      </c>
      <c r="C10" s="64">
        <f>INDEX(Subs!$1:$1048576,MATCH($B10,Subs!$B:$B,0),MATCH($C$2,Subs!$6:$6,0))*1000</f>
        <v>77875</v>
      </c>
      <c r="D10" s="109">
        <f>E10*(1-F10)</f>
        <v>19.789695762636445</v>
      </c>
      <c r="E10" s="194">
        <v>52.51</v>
      </c>
      <c r="F10" s="120">
        <v>0.62312519972126368</v>
      </c>
      <c r="G10" s="123">
        <f>-1/F10</f>
        <v>-1.604813928962141</v>
      </c>
      <c r="H10" s="115"/>
      <c r="M10" s="86"/>
      <c r="N10" s="66"/>
      <c r="O10" s="62"/>
      <c r="P10" s="68"/>
      <c r="Q10" s="59"/>
    </row>
    <row r="11" spans="1:17" x14ac:dyDescent="0.35">
      <c r="A11" s="70"/>
      <c r="B11" s="85" t="s">
        <v>0</v>
      </c>
      <c r="C11" s="64">
        <f>INDEX(Subs!$1:$1048576,MATCH($B11,Subs!$B:$B,0),MATCH($C$2,Subs!$6:$6,0))*1000</f>
        <v>110854</v>
      </c>
      <c r="D11" s="109">
        <f t="shared" ref="D11:D13" si="0">E11*(1-F11)</f>
        <v>19.073519922696857</v>
      </c>
      <c r="E11" s="195">
        <v>43.45</v>
      </c>
      <c r="F11" s="120">
        <v>0.56102370718764427</v>
      </c>
      <c r="G11" s="123">
        <f t="shared" ref="G11:G14" si="1">-1/F11</f>
        <v>-1.7824558698471049</v>
      </c>
      <c r="H11" s="115"/>
      <c r="I11" s="127"/>
      <c r="M11" s="86"/>
      <c r="N11" s="66"/>
      <c r="O11" s="62"/>
      <c r="P11" s="68"/>
      <c r="Q11" s="59"/>
    </row>
    <row r="12" spans="1:17" x14ac:dyDescent="0.35">
      <c r="A12" s="70"/>
      <c r="B12" s="85" t="s">
        <v>3</v>
      </c>
      <c r="C12" s="64">
        <f>INDEX(Subs!$1:$1048576,MATCH($B12,Subs!$B:$B,0),MATCH($C$2,Subs!$6:$6,0))*1000</f>
        <v>31942</v>
      </c>
      <c r="D12" s="109">
        <f t="shared" si="0"/>
        <v>23.485842517583151</v>
      </c>
      <c r="E12" s="195">
        <v>46.14</v>
      </c>
      <c r="F12" s="120">
        <v>0.49098737499819789</v>
      </c>
      <c r="G12" s="123">
        <f t="shared" si="1"/>
        <v>-2.0367122474456099</v>
      </c>
      <c r="H12" s="115"/>
      <c r="I12" s="127"/>
      <c r="M12" s="86"/>
      <c r="N12" s="66"/>
      <c r="O12" s="62"/>
      <c r="P12" s="68"/>
      <c r="Q12" s="59"/>
    </row>
    <row r="13" spans="1:17" ht="15.75" customHeight="1" x14ac:dyDescent="0.35">
      <c r="A13" s="70"/>
      <c r="B13" s="86" t="s">
        <v>2</v>
      </c>
      <c r="C13" s="64">
        <f>INDEX(Subs!$1:$1048576,MATCH($B13,Subs!$B:$B,0),MATCH($C$2,Subs!$6:$6,0))*1000</f>
        <v>34114</v>
      </c>
      <c r="D13" s="109">
        <f t="shared" si="0"/>
        <v>21.162144393157238</v>
      </c>
      <c r="E13" s="195">
        <v>46.97</v>
      </c>
      <c r="F13" s="120">
        <v>0.54945402611970962</v>
      </c>
      <c r="G13" s="123">
        <f t="shared" si="1"/>
        <v>-1.8199884839539422</v>
      </c>
      <c r="H13" s="115"/>
      <c r="I13" s="127"/>
      <c r="M13" s="86"/>
      <c r="N13" s="66"/>
      <c r="O13" s="62"/>
      <c r="P13" s="68"/>
      <c r="Q13" s="59"/>
    </row>
    <row r="14" spans="1:17" s="71" customFormat="1" ht="15.75" customHeight="1" x14ac:dyDescent="0.35">
      <c r="B14" s="86" t="s">
        <v>70</v>
      </c>
      <c r="C14" s="64">
        <f>INDEX(Subs!$1:$1048576,MATCH($B14,Subs!$B:$B,0),MATCH($C$2,Subs!$6:$6,0))*1000</f>
        <v>66056</v>
      </c>
      <c r="D14" s="109"/>
      <c r="E14" s="121"/>
      <c r="F14" s="119">
        <f>F12*C12/(C12+C13)+F13*C13/(C12+C13)</f>
        <v>0.52118192714121681</v>
      </c>
      <c r="G14" s="123">
        <f t="shared" si="1"/>
        <v>-1.9187158032996126</v>
      </c>
      <c r="H14" s="115"/>
      <c r="I14" s="127"/>
      <c r="M14" s="86"/>
      <c r="N14" s="66"/>
      <c r="O14" s="62"/>
      <c r="P14" s="68"/>
      <c r="Q14" s="59"/>
    </row>
    <row r="15" spans="1:17" ht="6" customHeight="1" thickBot="1" x14ac:dyDescent="0.4">
      <c r="A15" s="70"/>
      <c r="B15" s="72"/>
      <c r="C15" s="72"/>
      <c r="D15" s="72"/>
      <c r="E15" s="72"/>
      <c r="F15" s="72"/>
      <c r="G15" s="72"/>
      <c r="H15" s="115"/>
      <c r="I15" s="127"/>
      <c r="M15" s="73"/>
      <c r="N15" s="73"/>
      <c r="O15" s="73"/>
      <c r="P15" s="73"/>
      <c r="Q15" s="73"/>
    </row>
    <row r="16" spans="1:17" ht="6" customHeight="1" thickTop="1" x14ac:dyDescent="0.35">
      <c r="A16" s="70"/>
      <c r="B16" s="71"/>
      <c r="D16" s="71"/>
      <c r="E16" s="71"/>
      <c r="F16" s="71"/>
      <c r="G16" s="71"/>
      <c r="H16" s="115"/>
      <c r="M16" s="73"/>
      <c r="N16" s="73"/>
      <c r="O16" s="73"/>
      <c r="P16" s="73"/>
      <c r="Q16" s="73"/>
    </row>
    <row r="17" spans="1:17" x14ac:dyDescent="0.35">
      <c r="A17" s="70"/>
      <c r="B17" s="85" t="s">
        <v>104</v>
      </c>
      <c r="C17" s="85"/>
      <c r="D17" s="85"/>
      <c r="E17" s="85"/>
      <c r="F17" s="85"/>
      <c r="G17" s="85"/>
      <c r="H17" s="115"/>
      <c r="M17" s="86"/>
      <c r="N17" s="86"/>
      <c r="O17" s="86"/>
      <c r="P17" s="86"/>
      <c r="Q17" s="86"/>
    </row>
    <row r="18" spans="1:17" x14ac:dyDescent="0.35">
      <c r="A18" s="70"/>
      <c r="B18" s="149"/>
      <c r="C18" s="149"/>
      <c r="D18" s="149"/>
      <c r="E18" s="149"/>
      <c r="F18" s="149"/>
      <c r="G18" s="149"/>
      <c r="H18" s="127"/>
      <c r="I18" s="127"/>
      <c r="J18" s="127"/>
      <c r="M18" s="236"/>
      <c r="N18" s="236"/>
      <c r="O18" s="236"/>
      <c r="P18" s="236"/>
      <c r="Q18" s="236"/>
    </row>
    <row r="19" spans="1:17" x14ac:dyDescent="0.35">
      <c r="A19" s="65"/>
      <c r="B19" s="149"/>
      <c r="C19" s="149"/>
      <c r="D19" s="149"/>
      <c r="E19" s="149"/>
      <c r="F19" s="149"/>
      <c r="G19" s="149"/>
      <c r="H19" s="127"/>
      <c r="I19" s="127"/>
      <c r="J19" s="127"/>
      <c r="M19" s="236"/>
      <c r="N19" s="236"/>
      <c r="O19" s="236"/>
      <c r="P19" s="236"/>
      <c r="Q19" s="236"/>
    </row>
    <row r="20" spans="1:17" x14ac:dyDescent="0.35">
      <c r="A20" s="65"/>
      <c r="B20" s="149"/>
      <c r="C20" s="149"/>
      <c r="D20" s="127"/>
      <c r="E20" s="132"/>
      <c r="F20" s="131"/>
      <c r="G20" s="131"/>
      <c r="H20" s="131"/>
      <c r="I20" s="131"/>
      <c r="J20" s="127"/>
      <c r="M20" s="236"/>
      <c r="N20" s="236"/>
      <c r="O20" s="236"/>
      <c r="P20" s="236"/>
      <c r="Q20" s="236"/>
    </row>
    <row r="21" spans="1:17" x14ac:dyDescent="0.35">
      <c r="B21" s="147"/>
      <c r="C21" s="148"/>
      <c r="D21" s="137"/>
      <c r="E21" s="138"/>
      <c r="F21" s="139"/>
      <c r="G21" s="139"/>
      <c r="H21" s="139"/>
      <c r="I21" s="139"/>
      <c r="J21" s="137"/>
      <c r="K21" s="135"/>
      <c r="L21" s="135"/>
      <c r="M21" s="86"/>
      <c r="N21" s="86"/>
      <c r="O21" s="86"/>
      <c r="P21" s="86"/>
      <c r="Q21" s="86"/>
    </row>
    <row r="22" spans="1:17" x14ac:dyDescent="0.35">
      <c r="B22" s="134"/>
      <c r="C22" s="124"/>
      <c r="D22" s="137"/>
      <c r="E22" s="137"/>
      <c r="F22" s="137"/>
      <c r="G22" s="137"/>
      <c r="H22" s="137"/>
      <c r="I22" s="137"/>
      <c r="J22" s="137"/>
      <c r="K22" s="135"/>
      <c r="L22" s="135"/>
      <c r="M22" s="73"/>
      <c r="N22" s="73"/>
      <c r="O22" s="73"/>
      <c r="P22" s="73"/>
      <c r="Q22" s="73"/>
    </row>
    <row r="23" spans="1:17" x14ac:dyDescent="0.35">
      <c r="B23" s="127"/>
      <c r="C23" s="135"/>
      <c r="D23" s="137"/>
      <c r="E23" s="137"/>
      <c r="F23" s="137"/>
      <c r="G23" s="137"/>
      <c r="H23" s="137"/>
      <c r="I23" s="137"/>
      <c r="J23" s="137"/>
      <c r="K23" s="135"/>
      <c r="L23" s="135"/>
    </row>
    <row r="24" spans="1:17" x14ac:dyDescent="0.35">
      <c r="B24" s="127"/>
      <c r="C24" s="135"/>
      <c r="D24" s="137"/>
      <c r="E24" s="114"/>
      <c r="F24" s="116"/>
      <c r="G24" s="108"/>
      <c r="H24" s="106"/>
      <c r="I24" s="105"/>
      <c r="J24" s="137"/>
      <c r="K24" s="135"/>
      <c r="L24" s="135"/>
    </row>
    <row r="25" spans="1:17" x14ac:dyDescent="0.35">
      <c r="B25" s="127"/>
      <c r="C25" s="135"/>
      <c r="D25" s="137"/>
      <c r="E25" s="114"/>
      <c r="F25" s="116"/>
      <c r="G25" s="108"/>
      <c r="H25" s="106"/>
      <c r="I25" s="105"/>
      <c r="J25" s="137"/>
      <c r="K25" s="135"/>
      <c r="L25" s="135"/>
    </row>
    <row r="26" spans="1:17" x14ac:dyDescent="0.35">
      <c r="B26" s="127"/>
      <c r="C26" s="135"/>
      <c r="D26" s="137"/>
      <c r="E26" s="114"/>
      <c r="F26" s="116"/>
      <c r="G26" s="108"/>
      <c r="H26" s="106"/>
      <c r="I26" s="105"/>
      <c r="J26" s="137"/>
      <c r="K26" s="135"/>
      <c r="L26" s="135"/>
    </row>
    <row r="27" spans="1:17" x14ac:dyDescent="0.35">
      <c r="B27" s="127"/>
      <c r="C27" s="135"/>
      <c r="D27" s="137"/>
      <c r="E27" s="114"/>
      <c r="F27" s="116"/>
      <c r="G27" s="108"/>
      <c r="H27" s="106"/>
      <c r="I27" s="105"/>
      <c r="J27" s="137"/>
      <c r="K27" s="135"/>
      <c r="L27" s="135"/>
    </row>
    <row r="28" spans="1:17" x14ac:dyDescent="0.35">
      <c r="B28" s="127"/>
      <c r="C28" s="127"/>
      <c r="D28" s="136"/>
      <c r="E28" s="113"/>
      <c r="F28" s="104"/>
      <c r="G28" s="117"/>
      <c r="H28" s="111"/>
      <c r="I28" s="140"/>
      <c r="J28" s="136"/>
    </row>
    <row r="29" spans="1:17" x14ac:dyDescent="0.35">
      <c r="B29" s="127"/>
      <c r="C29" s="127"/>
      <c r="D29" s="136"/>
      <c r="E29" s="107"/>
      <c r="F29" s="136"/>
      <c r="G29" s="136"/>
      <c r="H29" s="136"/>
      <c r="I29" s="136"/>
      <c r="J29" s="136"/>
    </row>
    <row r="30" spans="1:17" x14ac:dyDescent="0.35">
      <c r="D30" s="136"/>
      <c r="E30" s="112"/>
      <c r="F30" s="126"/>
      <c r="G30" s="125"/>
      <c r="H30" s="125"/>
      <c r="I30" s="110"/>
      <c r="J30" s="136"/>
    </row>
    <row r="31" spans="1:17" x14ac:dyDescent="0.35">
      <c r="D31" s="136"/>
      <c r="E31" s="136"/>
      <c r="F31" s="136"/>
      <c r="G31" s="136"/>
      <c r="H31" s="136"/>
      <c r="I31" s="136"/>
      <c r="J31" s="136"/>
    </row>
    <row r="32" spans="1:17" x14ac:dyDescent="0.35">
      <c r="D32" s="136"/>
      <c r="E32" s="136"/>
      <c r="F32" s="136"/>
      <c r="G32" s="136"/>
      <c r="H32" s="136"/>
      <c r="I32" s="136"/>
      <c r="J32" s="136"/>
    </row>
  </sheetData>
  <mergeCells count="4">
    <mergeCell ref="B4:G4"/>
    <mergeCell ref="M18:Q18"/>
    <mergeCell ref="M19:Q19"/>
    <mergeCell ref="M20:Q20"/>
  </mergeCells>
  <printOptions horizontalCentered="1"/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/>
  </sheetViews>
  <sheetFormatPr defaultColWidth="9.1796875" defaultRowHeight="14.5" outlineLevelRow="1" outlineLevelCol="2" x14ac:dyDescent="0.35"/>
  <cols>
    <col min="1" max="1" width="14.7265625" style="2" customWidth="1" outlineLevel="1"/>
    <col min="2" max="2" width="9.1796875" style="2" customWidth="1" outlineLevel="2"/>
    <col min="3" max="3" width="30.81640625" style="71" customWidth="1"/>
    <col min="4" max="4" width="4.1796875" style="71" customWidth="1"/>
    <col min="5" max="5" width="12.26953125" style="71" bestFit="1" customWidth="1"/>
    <col min="6" max="6" width="8.81640625" style="71" customWidth="1"/>
    <col min="7" max="7" width="16.1796875" style="71" bestFit="1" customWidth="1"/>
    <col min="8" max="8" width="9.1796875" style="71"/>
    <col min="9" max="9" width="14.453125" style="71" customWidth="1"/>
    <col min="10" max="16384" width="9.1796875" style="71"/>
  </cols>
  <sheetData>
    <row r="1" spans="1:9" s="2" customFormat="1" outlineLevel="1" x14ac:dyDescent="0.3">
      <c r="A1" s="2" t="s">
        <v>95</v>
      </c>
      <c r="E1" s="2">
        <v>65</v>
      </c>
      <c r="F1" s="2">
        <f>MAX($E$1:E$1)+1</f>
        <v>66</v>
      </c>
      <c r="G1" s="2">
        <f>MAX($E$1:F$1)+1</f>
        <v>67</v>
      </c>
      <c r="H1" s="2">
        <f>MAX($E$1:G$1)+1</f>
        <v>68</v>
      </c>
    </row>
    <row r="2" spans="1:9" s="2" customFormat="1" ht="15" outlineLevel="1" x14ac:dyDescent="0.25">
      <c r="A2" s="2">
        <v>0.8</v>
      </c>
      <c r="C2" s="57" t="s">
        <v>10</v>
      </c>
      <c r="E2" s="2" t="s">
        <v>2</v>
      </c>
      <c r="F2" s="2" t="s">
        <v>3</v>
      </c>
      <c r="G2" s="2" t="s">
        <v>27</v>
      </c>
      <c r="H2" s="2" t="s">
        <v>1</v>
      </c>
      <c r="I2" s="2" t="s">
        <v>80</v>
      </c>
    </row>
    <row r="3" spans="1:9" ht="18.75" x14ac:dyDescent="0.3">
      <c r="C3" s="142" t="s">
        <v>9</v>
      </c>
      <c r="D3" s="129"/>
      <c r="E3" s="129"/>
      <c r="F3" s="129"/>
      <c r="G3" s="129"/>
      <c r="H3" s="129"/>
      <c r="I3" s="129"/>
    </row>
    <row r="4" spans="1:9" ht="18.75" x14ac:dyDescent="0.3">
      <c r="C4" s="142" t="s">
        <v>12</v>
      </c>
      <c r="D4" s="129"/>
      <c r="E4" s="129"/>
      <c r="F4" s="129"/>
      <c r="G4" s="129"/>
      <c r="H4" s="129"/>
      <c r="I4" s="129"/>
    </row>
    <row r="5" spans="1:9" ht="6" customHeight="1" thickBot="1" x14ac:dyDescent="0.3">
      <c r="C5" s="72"/>
      <c r="D5" s="72"/>
      <c r="E5" s="72"/>
      <c r="F5" s="72"/>
      <c r="G5" s="72"/>
      <c r="H5" s="72"/>
      <c r="I5" s="72"/>
    </row>
    <row r="6" spans="1:9" ht="6" customHeight="1" thickTop="1" x14ac:dyDescent="0.25">
      <c r="C6" s="73"/>
      <c r="D6" s="73"/>
      <c r="E6" s="73"/>
      <c r="F6" s="73"/>
      <c r="G6" s="73"/>
    </row>
    <row r="7" spans="1:9" ht="15" x14ac:dyDescent="0.25">
      <c r="A7" s="2" t="s">
        <v>8</v>
      </c>
      <c r="B7" s="54">
        <v>1</v>
      </c>
      <c r="C7" s="71" t="s">
        <v>91</v>
      </c>
      <c r="E7" s="132" t="s">
        <v>2</v>
      </c>
      <c r="F7" s="132" t="s">
        <v>3</v>
      </c>
      <c r="G7" s="132" t="s">
        <v>0</v>
      </c>
      <c r="H7" s="132" t="s">
        <v>1</v>
      </c>
      <c r="I7" s="132" t="s">
        <v>70</v>
      </c>
    </row>
    <row r="8" spans="1:9" ht="14.25" customHeight="1" x14ac:dyDescent="0.25">
      <c r="A8" s="2" t="s">
        <v>19</v>
      </c>
      <c r="B8" s="2">
        <v>2016</v>
      </c>
      <c r="C8" s="71" t="s">
        <v>100</v>
      </c>
      <c r="E8" s="7" t="str">
        <f>"["&amp;CHAR(E1)&amp;"]"</f>
        <v>[A]</v>
      </c>
      <c r="F8" s="7" t="str">
        <f>"["&amp;CHAR(F1)&amp;"]"</f>
        <v>[B]</v>
      </c>
      <c r="G8" s="7" t="str">
        <f>"["&amp;CHAR(G1)&amp;"]"</f>
        <v>[C]</v>
      </c>
      <c r="H8" s="7" t="str">
        <f>"["&amp;CHAR(H1)&amp;"]"</f>
        <v>[D]</v>
      </c>
    </row>
    <row r="9" spans="1:9" ht="6" customHeight="1" x14ac:dyDescent="0.3">
      <c r="C9" s="74"/>
      <c r="D9" s="74"/>
      <c r="E9" s="79"/>
      <c r="F9" s="74"/>
      <c r="G9" s="74"/>
      <c r="H9" s="74"/>
      <c r="I9" s="74"/>
    </row>
    <row r="10" spans="1:9" ht="6" customHeight="1" x14ac:dyDescent="0.25">
      <c r="E10" s="78"/>
    </row>
    <row r="11" spans="1:9" ht="15" customHeight="1" x14ac:dyDescent="0.25">
      <c r="A11" s="2">
        <v>1</v>
      </c>
      <c r="B11" s="2">
        <v>100</v>
      </c>
      <c r="C11" s="71" t="s">
        <v>2</v>
      </c>
      <c r="D11" s="8" t="str">
        <f t="shared" ref="D11:D15" si="0">"["&amp;$A11&amp;"]"</f>
        <v>[1]</v>
      </c>
      <c r="E11" s="158" t="s">
        <v>5</v>
      </c>
      <c r="F11" s="158">
        <f>INDEX('Diversion Ratios'!$R$22:$V$26,MATCH('Div. Ratios Summary'!F$7,'Diversion Ratios'!$R$22:$R$26,0),MATCH('Div. Ratios Summary'!$C11,'Diversion Ratios'!$R$22:$V$22,0))*$A$2</f>
        <v>0.19819014891179842</v>
      </c>
      <c r="G11" s="158">
        <f>INDEX('Diversion Ratios'!$R$22:$V$26,MATCH('Div. Ratios Summary'!G$7,'Diversion Ratios'!$R$22:$R$26,0),MATCH('Div. Ratios Summary'!$C11,'Diversion Ratios'!$R$22:$V$22,0))*$A$2</f>
        <v>0.25879889312691645</v>
      </c>
      <c r="H11" s="158">
        <f>INDEX('Diversion Ratios'!$R$22:$V$26,MATCH('Div. Ratios Summary'!H$7,'Diversion Ratios'!$R$22:$R$26,0),MATCH('Div. Ratios Summary'!$C11,'Diversion Ratios'!$R$22:$V$22,0))*$A$2</f>
        <v>0.22297110087309516</v>
      </c>
      <c r="I11" s="158"/>
    </row>
    <row r="12" spans="1:9" ht="15" x14ac:dyDescent="0.25">
      <c r="A12" s="2">
        <f>MAX($A$11:$A11)+1</f>
        <v>2</v>
      </c>
      <c r="C12" s="71" t="s">
        <v>3</v>
      </c>
      <c r="D12" s="8" t="str">
        <f t="shared" si="0"/>
        <v>[2]</v>
      </c>
      <c r="E12" s="158">
        <f>INDEX('Diversion Ratios'!$R$22:$V$26,MATCH('Div. Ratios Summary'!E$7,'Diversion Ratios'!$R$22:$R$26,0),MATCH('Div. Ratios Summary'!$C12,'Diversion Ratios'!$R$22:$V$22,0))*$A$2</f>
        <v>0.17031221909270691</v>
      </c>
      <c r="F12" s="158" t="s">
        <v>5</v>
      </c>
      <c r="G12" s="158">
        <f>INDEX('Diversion Ratios'!$R$22:$V$26,MATCH('Div. Ratios Summary'!G$7,'Diversion Ratios'!$R$22:$R$26,0),MATCH('Div. Ratios Summary'!$C12,'Diversion Ratios'!$R$22:$V$22,0))*$A$2</f>
        <v>0.21254954752823277</v>
      </c>
      <c r="H12" s="158">
        <f>INDEX('Diversion Ratios'!$R$22:$V$26,MATCH('Div. Ratios Summary'!H$7,'Diversion Ratios'!$R$22:$R$26,0),MATCH('Div. Ratios Summary'!$C12,'Diversion Ratios'!$R$22:$V$22,0))*$A$2</f>
        <v>0.18312445632913432</v>
      </c>
      <c r="I12" s="158"/>
    </row>
    <row r="13" spans="1:9" ht="15" x14ac:dyDescent="0.25">
      <c r="A13" s="2">
        <f>MAX($A$11:$A12)+1</f>
        <v>3</v>
      </c>
      <c r="C13" s="71" t="s">
        <v>0</v>
      </c>
      <c r="D13" s="8" t="str">
        <f t="shared" si="0"/>
        <v>[3]</v>
      </c>
      <c r="E13" s="158">
        <f>INDEX('Diversion Ratios'!$R$22:$V$26,MATCH('Div. Ratios Summary'!E$7,'Diversion Ratios'!$R$22:$R$26,0),MATCH('Div. Ratios Summary'!$C13,'Diversion Ratios'!$R$22:$V$22,0))*$A$2</f>
        <v>0.36634505902798586</v>
      </c>
      <c r="F13" s="158">
        <f>INDEX('Diversion Ratios'!$R$22:$V$26,MATCH('Div. Ratios Summary'!F$7,'Diversion Ratios'!$R$22:$R$26,0),MATCH('Div. Ratios Summary'!$C13,'Diversion Ratios'!$R$22:$V$22,0))*$A$2</f>
        <v>0.35012600229095076</v>
      </c>
      <c r="G13" s="158" t="s">
        <v>5</v>
      </c>
      <c r="H13" s="158">
        <f>INDEX('Diversion Ratios'!$R$22:$V$26,MATCH('Div. Ratios Summary'!H$7,'Diversion Ratios'!$R$22:$R$26,0),MATCH('Div. Ratios Summary'!$C13,'Diversion Ratios'!$R$22:$V$22,0))*$A$2</f>
        <v>0.39390444279777054</v>
      </c>
      <c r="I13" s="158">
        <f>'Diversion Ratios'!H26/('Diversion Ratios'!H23+'Diversion Ratios'!H26)*$A$2</f>
        <v>0.46543073584833838</v>
      </c>
    </row>
    <row r="14" spans="1:9" ht="15" x14ac:dyDescent="0.25">
      <c r="A14" s="2">
        <f>MAX($A$11:$A13)+1</f>
        <v>4</v>
      </c>
      <c r="C14" s="71" t="s">
        <v>1</v>
      </c>
      <c r="D14" s="8" t="str">
        <f t="shared" si="0"/>
        <v>[4]</v>
      </c>
      <c r="E14" s="158">
        <f>INDEX('Diversion Ratios'!$R$22:$V$26,MATCH('Div. Ratios Summary'!E$7,'Diversion Ratios'!$R$22:$R$26,0),MATCH('Div. Ratios Summary'!$C14,'Diversion Ratios'!$R$22:$V$22,0))*$A$2</f>
        <v>0.26334272187930724</v>
      </c>
      <c r="F14" s="158">
        <f>INDEX('Diversion Ratios'!$R$22:$V$26,MATCH('Div. Ratios Summary'!F$7,'Diversion Ratios'!$R$22:$R$26,0),MATCH('Div. Ratios Summary'!$C14,'Diversion Ratios'!$R$22:$V$22,0))*$A$2</f>
        <v>0.25168384879725086</v>
      </c>
      <c r="G14" s="158">
        <f>INDEX('Diversion Ratios'!$R$22:$V$26,MATCH('Div. Ratios Summary'!G$7,'Diversion Ratios'!$R$22:$R$26,0),MATCH('Div. Ratios Summary'!$C14,'Diversion Ratios'!$R$22:$V$22,0))</f>
        <v>0.41081444918106347</v>
      </c>
      <c r="H14" s="158" t="s">
        <v>5</v>
      </c>
      <c r="I14" s="158">
        <f>'Diversion Ratios'!H23/('Diversion Ratios'!H23+'Diversion Ratios'!H26)*$A$2</f>
        <v>0.33456926415166166</v>
      </c>
    </row>
    <row r="15" spans="1:9" ht="15" x14ac:dyDescent="0.25">
      <c r="A15" s="2">
        <f>MAX($A$11:$A14)+1</f>
        <v>5</v>
      </c>
      <c r="C15" s="71" t="s">
        <v>70</v>
      </c>
      <c r="D15" s="8" t="str">
        <f t="shared" si="0"/>
        <v>[5]</v>
      </c>
      <c r="E15" s="158"/>
      <c r="F15" s="158"/>
      <c r="G15" s="158">
        <f>G11+G12</f>
        <v>0.47134844065514925</v>
      </c>
      <c r="H15" s="158">
        <f>H11+H12</f>
        <v>0.40609555720222945</v>
      </c>
      <c r="I15" s="158"/>
    </row>
    <row r="16" spans="1:9" ht="6" customHeight="1" thickBot="1" x14ac:dyDescent="0.3">
      <c r="C16" s="72"/>
      <c r="D16" s="12"/>
      <c r="E16" s="72"/>
      <c r="F16" s="72"/>
      <c r="G16" s="13"/>
      <c r="H16" s="72"/>
      <c r="I16" s="72"/>
    </row>
    <row r="17" spans="3:9" ht="6" customHeight="1" thickTop="1" x14ac:dyDescent="0.25"/>
    <row r="18" spans="3:9" ht="32.25" customHeight="1" x14ac:dyDescent="0.25">
      <c r="C18" s="237" t="s">
        <v>101</v>
      </c>
      <c r="D18" s="237"/>
      <c r="E18" s="237"/>
      <c r="F18" s="237"/>
      <c r="G18" s="237"/>
      <c r="H18" s="237"/>
      <c r="I18" s="237"/>
    </row>
    <row r="20" spans="3:9" x14ac:dyDescent="0.35">
      <c r="C20" s="82"/>
      <c r="D20" s="82"/>
      <c r="E20" s="82"/>
      <c r="F20" s="82"/>
      <c r="G20" s="82"/>
    </row>
    <row r="21" spans="3:9" x14ac:dyDescent="0.35">
      <c r="C21" s="87"/>
      <c r="D21" s="87"/>
      <c r="E21" s="87"/>
      <c r="F21" s="87"/>
      <c r="G21" s="87"/>
    </row>
    <row r="22" spans="3:9" ht="15" customHeight="1" x14ac:dyDescent="0.35">
      <c r="C22" s="78"/>
      <c r="D22" s="78"/>
      <c r="E22" s="78"/>
      <c r="F22" s="78"/>
      <c r="G22" s="78"/>
    </row>
  </sheetData>
  <mergeCells count="1">
    <mergeCell ref="C18:I18"/>
  </mergeCells>
  <pageMargins left="0.7" right="0.7" top="0.75" bottom="0.75" header="0.3" footer="0.3"/>
  <pageSetup scale="9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"/>
  <sheetViews>
    <sheetView showGridLines="0" workbookViewId="0"/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/>
  </sheetViews>
  <sheetFormatPr defaultRowHeight="14.5" x14ac:dyDescent="0.35"/>
  <cols>
    <col min="1" max="1" width="9.1796875" style="127"/>
    <col min="2" max="2" width="18.81640625" customWidth="1"/>
  </cols>
  <sheetData>
    <row r="1" spans="2:9" s="127" customFormat="1" ht="15" x14ac:dyDescent="0.25"/>
    <row r="2" spans="2:9" ht="18.75" x14ac:dyDescent="0.3">
      <c r="B2" s="142" t="s">
        <v>99</v>
      </c>
      <c r="C2" s="129"/>
      <c r="D2" s="129"/>
      <c r="E2" s="129"/>
      <c r="F2" s="129"/>
    </row>
    <row r="3" spans="2:9" s="127" customFormat="1" ht="18.75" x14ac:dyDescent="0.3">
      <c r="B3" s="142" t="s">
        <v>98</v>
      </c>
      <c r="C3" s="129"/>
      <c r="D3" s="129"/>
      <c r="E3" s="129"/>
      <c r="F3" s="129"/>
    </row>
    <row r="4" spans="2:9" s="127" customFormat="1" ht="6" customHeight="1" thickBot="1" x14ac:dyDescent="0.35">
      <c r="B4" s="155"/>
      <c r="C4" s="156"/>
      <c r="D4" s="156"/>
      <c r="E4" s="156"/>
      <c r="F4" s="156"/>
    </row>
    <row r="5" spans="2:9" s="127" customFormat="1" ht="6" customHeight="1" thickTop="1" x14ac:dyDescent="0.3">
      <c r="B5" s="142"/>
      <c r="C5" s="129"/>
      <c r="D5" s="129"/>
      <c r="E5" s="129"/>
      <c r="F5" s="129"/>
    </row>
    <row r="6" spans="2:9" ht="15" x14ac:dyDescent="0.25">
      <c r="B6" s="133"/>
      <c r="C6" s="133">
        <v>2014</v>
      </c>
      <c r="D6" s="133">
        <v>2015</v>
      </c>
      <c r="E6" s="133">
        <v>2016</v>
      </c>
      <c r="F6" s="133">
        <v>2017</v>
      </c>
    </row>
    <row r="7" spans="2:9" ht="15" x14ac:dyDescent="0.25">
      <c r="B7" s="122" t="s">
        <v>1</v>
      </c>
      <c r="C7" s="145">
        <v>75.77</v>
      </c>
      <c r="D7" s="145">
        <v>77.105000000000004</v>
      </c>
      <c r="E7" s="145">
        <v>77.783000000000001</v>
      </c>
      <c r="F7" s="145">
        <v>77.875</v>
      </c>
    </row>
    <row r="8" spans="2:9" ht="15" x14ac:dyDescent="0.25">
      <c r="B8" s="122" t="s">
        <v>0</v>
      </c>
      <c r="C8" s="145">
        <v>102.07899999999999</v>
      </c>
      <c r="D8" s="145">
        <v>106.52800000000001</v>
      </c>
      <c r="E8" s="145">
        <v>108.79600000000001</v>
      </c>
      <c r="F8" s="145">
        <v>110.854</v>
      </c>
    </row>
    <row r="9" spans="2:9" ht="15" x14ac:dyDescent="0.25">
      <c r="B9" s="122" t="s">
        <v>3</v>
      </c>
      <c r="C9" s="145">
        <v>29.904</v>
      </c>
      <c r="D9" s="145">
        <v>30.895</v>
      </c>
      <c r="E9" s="145">
        <v>31.693999999999999</v>
      </c>
      <c r="F9" s="145">
        <v>31.942</v>
      </c>
      <c r="I9" s="127"/>
    </row>
    <row r="10" spans="2:9" ht="15" x14ac:dyDescent="0.25">
      <c r="B10" s="122" t="s">
        <v>2</v>
      </c>
      <c r="C10" s="145">
        <v>25.844000000000001</v>
      </c>
      <c r="D10" s="145">
        <v>29.355</v>
      </c>
      <c r="E10" s="145">
        <v>31.297000000000001</v>
      </c>
      <c r="F10" s="145">
        <v>34.113999999999997</v>
      </c>
      <c r="I10" s="127"/>
    </row>
    <row r="11" spans="2:9" ht="15" x14ac:dyDescent="0.25">
      <c r="B11" s="122" t="s">
        <v>4</v>
      </c>
      <c r="C11" s="145">
        <v>4.298</v>
      </c>
      <c r="D11" s="145">
        <v>4.4089999999999998</v>
      </c>
      <c r="E11" s="145">
        <v>4.4820000000000002</v>
      </c>
      <c r="F11" s="145">
        <v>4.5179999999999998</v>
      </c>
      <c r="I11" s="127"/>
    </row>
    <row r="12" spans="2:9" ht="15" x14ac:dyDescent="0.25">
      <c r="B12" s="48" t="s">
        <v>92</v>
      </c>
      <c r="C12" s="146">
        <v>237.89499999999998</v>
      </c>
      <c r="D12" s="146">
        <v>248.292</v>
      </c>
      <c r="E12" s="146">
        <v>254.05199999999999</v>
      </c>
      <c r="F12" s="146">
        <v>259.303</v>
      </c>
      <c r="I12" s="127"/>
    </row>
    <row r="13" spans="2:9" s="127" customFormat="1" ht="6" customHeight="1" x14ac:dyDescent="0.25">
      <c r="B13" s="48"/>
      <c r="C13" s="146"/>
      <c r="D13" s="146"/>
      <c r="E13" s="146"/>
      <c r="F13" s="146"/>
    </row>
    <row r="14" spans="2:9" s="127" customFormat="1" ht="15" x14ac:dyDescent="0.25">
      <c r="B14" s="136" t="s">
        <v>70</v>
      </c>
      <c r="C14" s="118">
        <f t="shared" ref="C14:E14" si="0">SUM(C9:C10)</f>
        <v>55.748000000000005</v>
      </c>
      <c r="D14" s="118">
        <f t="shared" si="0"/>
        <v>60.25</v>
      </c>
      <c r="E14" s="118">
        <f t="shared" si="0"/>
        <v>62.991</v>
      </c>
      <c r="F14" s="118">
        <f>SUM(F9:F10)</f>
        <v>66.055999999999997</v>
      </c>
    </row>
    <row r="15" spans="2:9" ht="6" customHeight="1" x14ac:dyDescent="0.25">
      <c r="B15" s="127"/>
      <c r="C15" s="127"/>
      <c r="D15" s="127"/>
      <c r="E15" s="127"/>
      <c r="F15" s="127"/>
      <c r="I15" s="127"/>
    </row>
    <row r="16" spans="2:9" ht="15" x14ac:dyDescent="0.25">
      <c r="B16" s="143" t="s">
        <v>93</v>
      </c>
      <c r="C16" s="133"/>
      <c r="D16" s="133"/>
      <c r="E16" s="133"/>
      <c r="F16" s="133"/>
    </row>
    <row r="17" spans="2:6" ht="15" x14ac:dyDescent="0.25">
      <c r="B17" s="134" t="s">
        <v>1</v>
      </c>
      <c r="C17" s="141">
        <v>0.31850186006431408</v>
      </c>
      <c r="D17" s="141">
        <v>0.31054162035023281</v>
      </c>
      <c r="E17" s="141">
        <v>0.30616960307338659</v>
      </c>
      <c r="F17" s="141">
        <v>0.30032433099501354</v>
      </c>
    </row>
    <row r="18" spans="2:6" ht="15" x14ac:dyDescent="0.25">
      <c r="B18" s="134" t="s">
        <v>27</v>
      </c>
      <c r="C18" s="141">
        <v>0.42909266693289055</v>
      </c>
      <c r="D18" s="141">
        <v>0.42904322330159655</v>
      </c>
      <c r="E18" s="141">
        <v>0.42824303685859594</v>
      </c>
      <c r="F18" s="141">
        <v>0.42750758764842672</v>
      </c>
    </row>
    <row r="19" spans="2:6" ht="15" x14ac:dyDescent="0.25">
      <c r="B19" s="134" t="s">
        <v>3</v>
      </c>
      <c r="C19" s="141">
        <v>0.12570251581580111</v>
      </c>
      <c r="D19" s="141">
        <v>0.12443010648752276</v>
      </c>
      <c r="E19" s="141">
        <v>0.12475398737266387</v>
      </c>
      <c r="F19" s="141">
        <v>0.12318407422976209</v>
      </c>
    </row>
    <row r="20" spans="2:6" x14ac:dyDescent="0.35">
      <c r="B20" s="134" t="s">
        <v>2</v>
      </c>
      <c r="C20" s="141">
        <v>0.10863616301309402</v>
      </c>
      <c r="D20" s="141">
        <v>0.11822773186409551</v>
      </c>
      <c r="E20" s="141">
        <v>0.12319131516382474</v>
      </c>
      <c r="F20" s="141">
        <v>0.13156037531382203</v>
      </c>
    </row>
    <row r="21" spans="2:6" x14ac:dyDescent="0.35">
      <c r="B21" s="134" t="s">
        <v>4</v>
      </c>
      <c r="C21" s="141">
        <v>1.8066794173900252E-2</v>
      </c>
      <c r="D21" s="141">
        <v>1.7757317996552446E-2</v>
      </c>
      <c r="E21" s="141">
        <v>1.764205753152898E-2</v>
      </c>
      <c r="F21" s="141">
        <v>1.7423631812975553E-2</v>
      </c>
    </row>
    <row r="22" spans="2:6" x14ac:dyDescent="0.35">
      <c r="B22" s="157" t="s">
        <v>92</v>
      </c>
      <c r="C22" s="144">
        <v>1</v>
      </c>
      <c r="D22" s="144">
        <v>1</v>
      </c>
      <c r="E22" s="144">
        <v>1</v>
      </c>
      <c r="F22" s="144">
        <v>1</v>
      </c>
    </row>
    <row r="23" spans="2:6" ht="6" customHeight="1" thickBot="1" x14ac:dyDescent="0.4">
      <c r="B23" s="130"/>
      <c r="C23" s="130"/>
      <c r="D23" s="130"/>
      <c r="E23" s="130"/>
      <c r="F23" s="130"/>
    </row>
    <row r="24" spans="2:6" ht="6" customHeight="1" thickTop="1" x14ac:dyDescent="0.35">
      <c r="B24" s="127"/>
      <c r="C24" s="127"/>
      <c r="D24" s="127"/>
      <c r="E24" s="127"/>
      <c r="F24" s="127"/>
    </row>
    <row r="25" spans="2:6" x14ac:dyDescent="0.35">
      <c r="B25" t="s">
        <v>103</v>
      </c>
    </row>
  </sheetData>
  <pageMargins left="0.7" right="0.7" top="0.75" bottom="0.75" header="0.3" footer="0.3"/>
  <pageSetup fitToHeight="0" orientation="portrait" r:id="rId1"/>
  <ignoredErrors>
    <ignoredError sqref="C14:F14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8"/>
  <sheetViews>
    <sheetView workbookViewId="0"/>
  </sheetViews>
  <sheetFormatPr defaultColWidth="9.1796875" defaultRowHeight="14.5" x14ac:dyDescent="0.35"/>
  <cols>
    <col min="1" max="1" width="9.1796875" style="160"/>
    <col min="2" max="2" width="16.453125" style="160" customWidth="1"/>
    <col min="3" max="3" width="2.54296875" style="160" customWidth="1"/>
    <col min="4" max="5" width="9.1796875" style="160"/>
    <col min="6" max="6" width="9.81640625" style="160" customWidth="1"/>
    <col min="7" max="8" width="9.1796875" style="160"/>
    <col min="9" max="9" width="2.81640625" style="160" customWidth="1"/>
    <col min="10" max="10" width="15.26953125" style="160" customWidth="1"/>
    <col min="11" max="15" width="9.1796875" style="160"/>
    <col min="16" max="16" width="3.1796875" style="160" customWidth="1"/>
    <col min="17" max="17" width="3.453125" style="160" bestFit="1" customWidth="1"/>
    <col min="18" max="18" width="16.54296875" style="160" customWidth="1"/>
    <col min="19" max="21" width="9.1796875" style="160"/>
    <col min="22" max="22" width="17.7265625" style="160" customWidth="1"/>
    <col min="23" max="23" width="9.1796875" style="160"/>
    <col min="24" max="24" width="2" style="160" customWidth="1"/>
    <col min="25" max="25" width="3.54296875" style="160" customWidth="1"/>
    <col min="26" max="26" width="3.1796875" style="160" customWidth="1"/>
    <col min="27" max="27" width="16" style="160" customWidth="1"/>
    <col min="28" max="29" width="9.1796875" style="160"/>
    <col min="30" max="30" width="11.81640625" style="160" customWidth="1"/>
    <col min="31" max="31" width="16.26953125" style="160" customWidth="1"/>
    <col min="32" max="32" width="9.1796875" style="160"/>
    <col min="33" max="33" width="2.453125" style="160" customWidth="1"/>
    <col min="34" max="16384" width="9.1796875" style="160"/>
  </cols>
  <sheetData>
    <row r="1" spans="1:34" ht="15" x14ac:dyDescent="0.25">
      <c r="A1" s="88" t="s">
        <v>81</v>
      </c>
      <c r="B1" s="159"/>
      <c r="C1" s="159"/>
      <c r="D1" s="89">
        <v>0.2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34" ht="15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</row>
    <row r="3" spans="1:34" ht="15" x14ac:dyDescent="0.25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1"/>
      <c r="Q3" s="162"/>
      <c r="R3" s="154"/>
      <c r="S3" s="162"/>
      <c r="T3" s="162"/>
      <c r="U3" s="162"/>
      <c r="V3" s="162"/>
      <c r="W3" s="162"/>
      <c r="X3" s="161"/>
      <c r="Y3" s="161"/>
      <c r="Z3" s="161"/>
      <c r="AA3" s="154"/>
      <c r="AB3" s="162"/>
      <c r="AC3" s="162"/>
      <c r="AD3" s="162"/>
      <c r="AE3" s="162"/>
      <c r="AF3" s="162"/>
      <c r="AG3" s="161"/>
      <c r="AH3" s="161"/>
    </row>
    <row r="4" spans="1:34" ht="15" x14ac:dyDescent="0.25">
      <c r="A4" s="159"/>
      <c r="B4" s="90" t="s">
        <v>18</v>
      </c>
      <c r="C4" s="159"/>
      <c r="D4" s="159"/>
      <c r="E4" s="159"/>
      <c r="F4" s="159"/>
      <c r="G4" s="159"/>
      <c r="H4" s="159"/>
      <c r="I4" s="159"/>
      <c r="J4" s="159"/>
      <c r="K4" s="91"/>
      <c r="L4" s="159"/>
      <c r="M4" s="159"/>
      <c r="N4" s="159"/>
      <c r="O4" s="159"/>
      <c r="P4" s="161"/>
      <c r="Q4" s="162"/>
      <c r="R4" s="153"/>
      <c r="S4" s="162"/>
      <c r="T4" s="162"/>
      <c r="U4" s="162"/>
      <c r="V4" s="162"/>
      <c r="W4" s="162"/>
      <c r="X4" s="161"/>
      <c r="Y4" s="161"/>
      <c r="Z4" s="161"/>
      <c r="AA4" s="153"/>
      <c r="AB4" s="162"/>
      <c r="AC4" s="162"/>
      <c r="AD4" s="162"/>
      <c r="AE4" s="162"/>
      <c r="AF4" s="162"/>
      <c r="AG4" s="161"/>
      <c r="AH4" s="161"/>
    </row>
    <row r="5" spans="1:34" ht="15" x14ac:dyDescent="0.2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61"/>
      <c r="Q5" s="162"/>
      <c r="R5" s="162"/>
      <c r="S5" s="238"/>
      <c r="T5" s="238"/>
      <c r="U5" s="238"/>
      <c r="V5" s="238"/>
      <c r="W5" s="162"/>
      <c r="X5" s="161"/>
      <c r="Y5" s="161"/>
      <c r="Z5" s="161"/>
      <c r="AA5" s="162"/>
      <c r="AB5" s="238"/>
      <c r="AC5" s="238"/>
      <c r="AD5" s="238"/>
      <c r="AE5" s="238"/>
      <c r="AF5" s="162"/>
      <c r="AG5" s="161"/>
      <c r="AH5" s="161"/>
    </row>
    <row r="6" spans="1:34" ht="15" x14ac:dyDescent="0.25">
      <c r="A6" s="159"/>
      <c r="B6" s="159"/>
      <c r="C6" s="159"/>
      <c r="D6" s="159" t="s">
        <v>14</v>
      </c>
      <c r="E6" s="159" t="s">
        <v>15</v>
      </c>
      <c r="F6" s="159" t="s">
        <v>16</v>
      </c>
      <c r="G6" s="159" t="s">
        <v>17</v>
      </c>
      <c r="H6" s="159">
        <v>2016</v>
      </c>
      <c r="I6" s="159"/>
      <c r="J6" s="159"/>
      <c r="K6" s="159"/>
      <c r="L6" s="159"/>
      <c r="M6" s="159"/>
      <c r="N6" s="159"/>
      <c r="O6" s="163"/>
      <c r="P6" s="161"/>
      <c r="Q6" s="162"/>
      <c r="R6" s="162"/>
      <c r="S6" s="164"/>
      <c r="T6" s="164"/>
      <c r="U6" s="164"/>
      <c r="V6" s="164"/>
      <c r="W6" s="164"/>
      <c r="X6" s="161"/>
      <c r="Y6" s="165"/>
      <c r="Z6" s="161"/>
      <c r="AA6" s="162"/>
      <c r="AB6" s="164"/>
      <c r="AC6" s="164"/>
      <c r="AD6" s="164"/>
      <c r="AE6" s="164"/>
      <c r="AF6" s="164"/>
      <c r="AG6" s="161"/>
      <c r="AH6" s="161"/>
    </row>
    <row r="7" spans="1:34" ht="15" customHeight="1" x14ac:dyDescent="0.35">
      <c r="A7" s="159"/>
      <c r="B7" s="159"/>
      <c r="C7" s="159"/>
      <c r="D7" s="159"/>
      <c r="E7" s="159"/>
      <c r="F7" s="159"/>
      <c r="G7" s="159"/>
      <c r="H7" s="166"/>
      <c r="I7" s="159"/>
      <c r="J7" s="159"/>
      <c r="K7" s="167"/>
      <c r="L7" s="167"/>
      <c r="M7" s="167"/>
      <c r="N7" s="167"/>
      <c r="O7" s="167"/>
      <c r="P7" s="161"/>
      <c r="Q7" s="168"/>
      <c r="R7" s="162"/>
      <c r="S7" s="169"/>
      <c r="T7" s="169"/>
      <c r="U7" s="169"/>
      <c r="V7" s="169"/>
      <c r="W7" s="169"/>
      <c r="X7" s="161"/>
      <c r="Y7" s="170"/>
      <c r="Z7" s="171"/>
      <c r="AA7" s="162"/>
      <c r="AB7" s="169"/>
      <c r="AC7" s="169"/>
      <c r="AD7" s="169"/>
      <c r="AE7" s="169"/>
      <c r="AF7" s="169"/>
      <c r="AG7" s="161"/>
      <c r="AH7" s="170"/>
    </row>
    <row r="8" spans="1:34" x14ac:dyDescent="0.35">
      <c r="A8" s="159"/>
      <c r="B8" s="159"/>
      <c r="C8" s="159"/>
      <c r="D8" s="159"/>
      <c r="E8" s="159"/>
      <c r="F8" s="159"/>
      <c r="G8" s="159"/>
      <c r="H8" s="166"/>
      <c r="I8" s="159"/>
      <c r="J8" s="159"/>
      <c r="K8" s="167"/>
      <c r="L8" s="167"/>
      <c r="M8" s="167"/>
      <c r="N8" s="167"/>
      <c r="O8" s="167"/>
      <c r="P8" s="172"/>
      <c r="Q8" s="168"/>
      <c r="R8" s="162"/>
      <c r="S8" s="169"/>
      <c r="T8" s="169"/>
      <c r="U8" s="169"/>
      <c r="V8" s="169"/>
      <c r="W8" s="169"/>
      <c r="X8" s="161"/>
      <c r="Y8" s="170"/>
      <c r="Z8" s="171"/>
      <c r="AA8" s="162"/>
      <c r="AB8" s="169"/>
      <c r="AC8" s="169"/>
      <c r="AD8" s="169"/>
      <c r="AE8" s="169"/>
      <c r="AF8" s="169"/>
      <c r="AG8" s="161"/>
      <c r="AH8" s="170"/>
    </row>
    <row r="9" spans="1:34" x14ac:dyDescent="0.35">
      <c r="A9" s="159"/>
      <c r="B9" s="159"/>
      <c r="C9" s="159"/>
      <c r="D9" s="159"/>
      <c r="E9" s="159"/>
      <c r="F9" s="159"/>
      <c r="G9" s="159"/>
      <c r="H9" s="166"/>
      <c r="I9" s="159"/>
      <c r="J9" s="159"/>
      <c r="K9" s="167"/>
      <c r="L9" s="167"/>
      <c r="M9" s="167"/>
      <c r="N9" s="167"/>
      <c r="O9" s="167"/>
      <c r="P9" s="172"/>
      <c r="Q9" s="168"/>
      <c r="R9" s="162"/>
      <c r="S9" s="169"/>
      <c r="T9" s="169"/>
      <c r="U9" s="169"/>
      <c r="V9" s="169"/>
      <c r="W9" s="169"/>
      <c r="X9" s="161"/>
      <c r="Y9" s="170"/>
      <c r="Z9" s="171"/>
      <c r="AA9" s="162"/>
      <c r="AB9" s="169"/>
      <c r="AC9" s="169"/>
      <c r="AD9" s="169"/>
      <c r="AE9" s="169"/>
      <c r="AF9" s="169"/>
      <c r="AG9" s="161"/>
      <c r="AH9" s="170"/>
    </row>
    <row r="10" spans="1:34" x14ac:dyDescent="0.35">
      <c r="A10" s="159"/>
      <c r="B10" s="159"/>
      <c r="C10" s="159"/>
      <c r="D10" s="159"/>
      <c r="E10" s="159"/>
      <c r="F10" s="159"/>
      <c r="G10" s="159"/>
      <c r="H10" s="166"/>
      <c r="I10" s="159"/>
      <c r="J10" s="162"/>
      <c r="K10" s="173"/>
      <c r="L10" s="173"/>
      <c r="M10" s="173"/>
      <c r="N10" s="173"/>
      <c r="O10" s="173"/>
      <c r="P10" s="172"/>
      <c r="Q10" s="168"/>
      <c r="R10" s="162"/>
      <c r="S10" s="169"/>
      <c r="T10" s="169"/>
      <c r="U10" s="169"/>
      <c r="V10" s="169"/>
      <c r="W10" s="169"/>
      <c r="X10" s="161"/>
      <c r="Y10" s="170"/>
      <c r="Z10" s="171"/>
      <c r="AA10" s="162"/>
      <c r="AB10" s="169"/>
      <c r="AC10" s="169"/>
      <c r="AD10" s="169"/>
      <c r="AE10" s="169"/>
      <c r="AF10" s="169"/>
      <c r="AG10" s="161"/>
      <c r="AH10" s="170"/>
    </row>
    <row r="11" spans="1:34" x14ac:dyDescent="0.35">
      <c r="A11" s="159"/>
      <c r="B11" s="94" t="s">
        <v>11</v>
      </c>
      <c r="C11" s="94"/>
      <c r="D11" s="94">
        <v>290</v>
      </c>
      <c r="E11" s="94">
        <v>270</v>
      </c>
      <c r="F11" s="94">
        <v>306</v>
      </c>
      <c r="G11" s="94">
        <v>270</v>
      </c>
      <c r="H11" s="94">
        <f t="shared" ref="H11" si="0">SUM(D11:G11)</f>
        <v>1136</v>
      </c>
      <c r="I11" s="94"/>
      <c r="J11" s="98"/>
      <c r="K11" s="173"/>
      <c r="L11" s="173"/>
      <c r="M11" s="173"/>
      <c r="N11" s="173"/>
      <c r="O11" s="173"/>
      <c r="P11" s="172"/>
      <c r="Q11" s="168"/>
      <c r="R11" s="162"/>
      <c r="S11" s="169"/>
      <c r="T11" s="169"/>
      <c r="U11" s="169"/>
      <c r="V11" s="169"/>
      <c r="W11" s="169"/>
      <c r="X11" s="161"/>
      <c r="Y11" s="161"/>
      <c r="Z11" s="171"/>
      <c r="AA11" s="162"/>
      <c r="AB11" s="169"/>
      <c r="AC11" s="169"/>
      <c r="AD11" s="169"/>
      <c r="AE11" s="169"/>
      <c r="AF11" s="169"/>
      <c r="AG11" s="161"/>
      <c r="AH11" s="170"/>
    </row>
    <row r="12" spans="1:34" ht="15" x14ac:dyDescent="0.25">
      <c r="A12" s="159"/>
      <c r="B12" s="95" t="s">
        <v>84</v>
      </c>
      <c r="C12" s="95"/>
      <c r="D12" s="96">
        <f>SUM(D7:D11)</f>
        <v>290</v>
      </c>
      <c r="E12" s="96">
        <f t="shared" ref="E12:G12" si="1">SUM(E7:E11)</f>
        <v>270</v>
      </c>
      <c r="F12" s="96">
        <f t="shared" si="1"/>
        <v>306</v>
      </c>
      <c r="G12" s="96">
        <f t="shared" si="1"/>
        <v>270</v>
      </c>
      <c r="H12" s="96">
        <f>SUM(H7:H11)</f>
        <v>1136</v>
      </c>
      <c r="I12" s="97"/>
      <c r="J12" s="98"/>
      <c r="K12" s="174"/>
      <c r="L12" s="174"/>
      <c r="M12" s="174"/>
      <c r="N12" s="174"/>
      <c r="O12" s="174"/>
      <c r="P12" s="161"/>
      <c r="Q12" s="162"/>
      <c r="R12" s="162"/>
      <c r="S12" s="162"/>
      <c r="T12" s="162"/>
      <c r="U12" s="162"/>
      <c r="V12" s="162"/>
      <c r="W12" s="162"/>
      <c r="X12" s="161"/>
      <c r="Y12" s="161"/>
      <c r="Z12" s="161"/>
      <c r="AA12" s="162"/>
      <c r="AB12" s="162"/>
      <c r="AC12" s="162"/>
      <c r="AD12" s="162"/>
      <c r="AE12" s="162"/>
      <c r="AF12" s="162"/>
      <c r="AG12" s="161"/>
      <c r="AH12" s="161"/>
    </row>
    <row r="13" spans="1:34" ht="15" x14ac:dyDescent="0.25">
      <c r="A13" s="159"/>
      <c r="B13" s="98"/>
      <c r="C13" s="98"/>
      <c r="D13" s="98"/>
      <c r="E13" s="98"/>
      <c r="F13" s="98"/>
      <c r="G13" s="98"/>
      <c r="H13" s="98"/>
      <c r="I13" s="98"/>
      <c r="J13" s="162"/>
      <c r="K13" s="162"/>
      <c r="L13" s="162"/>
      <c r="M13" s="162"/>
      <c r="N13" s="162"/>
      <c r="O13" s="162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2"/>
      <c r="AB13" s="162"/>
      <c r="AC13" s="162"/>
      <c r="AD13" s="162"/>
      <c r="AE13" s="162"/>
      <c r="AF13" s="162"/>
      <c r="AG13" s="161"/>
      <c r="AH13" s="161"/>
    </row>
    <row r="14" spans="1:34" ht="51" customHeight="1" x14ac:dyDescent="0.25">
      <c r="A14" s="159"/>
      <c r="B14" s="239" t="s">
        <v>102</v>
      </c>
      <c r="C14" s="239"/>
      <c r="D14" s="239"/>
      <c r="E14" s="239"/>
      <c r="F14" s="239"/>
      <c r="G14" s="239"/>
      <c r="H14" s="239"/>
      <c r="I14" s="175"/>
      <c r="J14" s="159"/>
      <c r="K14" s="159"/>
      <c r="L14" s="159"/>
      <c r="M14" s="159"/>
      <c r="N14" s="159"/>
      <c r="O14" s="159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</row>
    <row r="15" spans="1:34" ht="15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</row>
    <row r="16" spans="1:34" x14ac:dyDescent="0.3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</row>
    <row r="17" spans="1:34" ht="15" thickBot="1" x14ac:dyDescent="0.4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62"/>
      <c r="P17" s="161"/>
      <c r="Q17" s="176"/>
      <c r="R17" s="176"/>
      <c r="S17" s="176"/>
      <c r="T17" s="176"/>
      <c r="U17" s="176"/>
      <c r="V17" s="176"/>
      <c r="W17" s="176"/>
      <c r="X17" s="176"/>
      <c r="Y17" s="161"/>
      <c r="Z17" s="176"/>
      <c r="AA17" s="176"/>
      <c r="AB17" s="176"/>
      <c r="AC17" s="176"/>
      <c r="AD17" s="176"/>
      <c r="AE17" s="176"/>
      <c r="AF17" s="176"/>
      <c r="AG17" s="176"/>
      <c r="AH17" s="161"/>
    </row>
    <row r="18" spans="1:34" ht="15" thickTop="1" x14ac:dyDescent="0.3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Q18" s="177"/>
      <c r="R18" s="161"/>
      <c r="S18" s="161"/>
      <c r="T18" s="161"/>
      <c r="U18" s="161"/>
      <c r="V18" s="161"/>
      <c r="W18" s="161"/>
      <c r="X18" s="178"/>
      <c r="Z18" s="177"/>
      <c r="AA18" s="161"/>
      <c r="AB18" s="161"/>
      <c r="AC18" s="161"/>
      <c r="AD18" s="161"/>
      <c r="AE18" s="161"/>
      <c r="AF18" s="161"/>
      <c r="AG18" s="178"/>
    </row>
    <row r="19" spans="1:34" x14ac:dyDescent="0.3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Q19" s="177"/>
      <c r="R19" s="99" t="s">
        <v>85</v>
      </c>
      <c r="S19" s="161"/>
      <c r="T19" s="161"/>
      <c r="U19" s="161"/>
      <c r="V19" s="161"/>
      <c r="W19" s="161"/>
      <c r="X19" s="178"/>
      <c r="Z19" s="177"/>
      <c r="AA19" s="99" t="s">
        <v>85</v>
      </c>
      <c r="AB19" s="161"/>
      <c r="AC19" s="161"/>
      <c r="AD19" s="161"/>
      <c r="AE19" s="161"/>
      <c r="AF19" s="161"/>
      <c r="AG19" s="178"/>
    </row>
    <row r="20" spans="1:34" x14ac:dyDescent="0.35">
      <c r="B20" s="100" t="s">
        <v>86</v>
      </c>
      <c r="K20" s="101" t="s">
        <v>82</v>
      </c>
      <c r="Q20" s="177"/>
      <c r="R20" s="92" t="s">
        <v>87</v>
      </c>
      <c r="S20" s="161"/>
      <c r="T20" s="161"/>
      <c r="U20" s="161"/>
      <c r="V20" s="161"/>
      <c r="W20" s="161"/>
      <c r="X20" s="178"/>
      <c r="Z20" s="177"/>
      <c r="AA20" s="92" t="s">
        <v>88</v>
      </c>
      <c r="AB20" s="161"/>
      <c r="AC20" s="161"/>
      <c r="AD20" s="161"/>
      <c r="AE20" s="161"/>
      <c r="AF20" s="161"/>
      <c r="AG20" s="178"/>
    </row>
    <row r="21" spans="1:34" x14ac:dyDescent="0.35">
      <c r="Q21" s="177"/>
      <c r="R21" s="161"/>
      <c r="S21" s="240" t="s">
        <v>83</v>
      </c>
      <c r="T21" s="240"/>
      <c r="U21" s="240"/>
      <c r="V21" s="240"/>
      <c r="W21" s="161"/>
      <c r="X21" s="178"/>
      <c r="Z21" s="177"/>
      <c r="AA21" s="161"/>
      <c r="AB21" s="240" t="s">
        <v>83</v>
      </c>
      <c r="AC21" s="240"/>
      <c r="AD21" s="240"/>
      <c r="AE21" s="240"/>
      <c r="AF21" s="161"/>
      <c r="AG21" s="178"/>
    </row>
    <row r="22" spans="1:34" x14ac:dyDescent="0.35">
      <c r="D22" s="159">
        <v>2013</v>
      </c>
      <c r="E22" s="159">
        <f>D22+1</f>
        <v>2014</v>
      </c>
      <c r="F22" s="159">
        <f t="shared" ref="F22:G22" si="2">E22+1</f>
        <v>2015</v>
      </c>
      <c r="G22" s="159">
        <f t="shared" si="2"/>
        <v>2016</v>
      </c>
      <c r="H22" s="163" t="s">
        <v>59</v>
      </c>
      <c r="I22" s="159"/>
      <c r="J22" s="159"/>
      <c r="K22" s="159">
        <v>2013</v>
      </c>
      <c r="L22" s="159">
        <f>K22+1</f>
        <v>2014</v>
      </c>
      <c r="M22" s="159">
        <f t="shared" ref="M22:N22" si="3">L22+1</f>
        <v>2015</v>
      </c>
      <c r="N22" s="159">
        <f t="shared" si="3"/>
        <v>2016</v>
      </c>
      <c r="O22" s="163" t="s">
        <v>59</v>
      </c>
      <c r="P22" s="159"/>
      <c r="Q22" s="181"/>
      <c r="R22" s="162"/>
      <c r="S22" s="182" t="s">
        <v>1</v>
      </c>
      <c r="T22" s="182" t="s">
        <v>3</v>
      </c>
      <c r="U22" s="182" t="s">
        <v>2</v>
      </c>
      <c r="V22" s="182" t="s">
        <v>0</v>
      </c>
      <c r="W22" s="164"/>
      <c r="X22" s="183"/>
      <c r="Y22" s="184"/>
      <c r="Z22" s="181"/>
      <c r="AA22" s="162"/>
      <c r="AB22" s="182" t="str">
        <f>S22</f>
        <v>AT&amp;T</v>
      </c>
      <c r="AC22" s="182" t="str">
        <f t="shared" ref="AC22:AE22" si="4">T22</f>
        <v>Sprint</v>
      </c>
      <c r="AD22" s="182" t="str">
        <f t="shared" si="4"/>
        <v>T-Mobile</v>
      </c>
      <c r="AE22" s="182" t="str">
        <f t="shared" si="4"/>
        <v>Verizon Wireless</v>
      </c>
      <c r="AF22" s="182" t="s">
        <v>89</v>
      </c>
      <c r="AG22" s="178"/>
    </row>
    <row r="23" spans="1:34" x14ac:dyDescent="0.35">
      <c r="B23" s="160" t="s">
        <v>1</v>
      </c>
      <c r="D23" s="185">
        <v>10861</v>
      </c>
      <c r="E23" s="185">
        <v>12517</v>
      </c>
      <c r="F23" s="185">
        <v>11692</v>
      </c>
      <c r="G23" s="185">
        <v>11046</v>
      </c>
      <c r="H23" s="185">
        <v>10986</v>
      </c>
      <c r="I23" s="159"/>
      <c r="J23" s="159" t="str">
        <f t="shared" ref="J23:J27" si="5">B23</f>
        <v>AT&amp;T</v>
      </c>
      <c r="K23" s="186">
        <f>D23/D$27</f>
        <v>0.28298593017196455</v>
      </c>
      <c r="L23" s="186">
        <f t="shared" ref="L23:O26" si="6">E23/E$27</f>
        <v>0.26638149354104151</v>
      </c>
      <c r="M23" s="186">
        <f t="shared" si="6"/>
        <v>0.26079586009992861</v>
      </c>
      <c r="N23" s="186">
        <f t="shared" si="6"/>
        <v>0.25989365206343229</v>
      </c>
      <c r="O23" s="186">
        <f t="shared" si="6"/>
        <v>0.26141582391433671</v>
      </c>
      <c r="P23" s="159"/>
      <c r="Q23" s="241" t="s">
        <v>90</v>
      </c>
      <c r="R23" s="162" t="s">
        <v>1</v>
      </c>
      <c r="S23" s="187">
        <v>0</v>
      </c>
      <c r="T23" s="187">
        <f>VLOOKUP(T$22,$B$23:$H$27,7,FALSE)/($H$27-VLOOKUP($R23,$B$23:$H$27,7,FALSE))</f>
        <v>0.2289055704114179</v>
      </c>
      <c r="U23" s="187">
        <f>VLOOKUP(U$22,$B$23:$H$27,7,FALSE)/($H$27-VLOOKUP($R23,$B$23:$H$27,7,FALSE))</f>
        <v>0.27871387609136894</v>
      </c>
      <c r="V23" s="187">
        <f t="shared" ref="V23" si="7">VLOOKUP(V$22,$B$23:$H$27,7,FALSE)/($H$27-VLOOKUP($R23,$B$23:$H$27,7,FALSE))</f>
        <v>0.49238055349721316</v>
      </c>
      <c r="W23" s="173"/>
      <c r="X23" s="183"/>
      <c r="Y23" s="188"/>
      <c r="Z23" s="241" t="s">
        <v>90</v>
      </c>
      <c r="AA23" s="162" t="str">
        <f>R23</f>
        <v>AT&amp;T</v>
      </c>
      <c r="AB23" s="187">
        <v>0</v>
      </c>
      <c r="AC23" s="187">
        <f>T23*(1-$D$1)</f>
        <v>0.18312445632913432</v>
      </c>
      <c r="AD23" s="187">
        <f t="shared" ref="AD23:AE25" si="8">U23*(1-$D$1)</f>
        <v>0.22297110087309516</v>
      </c>
      <c r="AE23" s="187">
        <f t="shared" si="8"/>
        <v>0.39390444279777054</v>
      </c>
      <c r="AF23" s="187">
        <f>1-SUM(AB23:AE23)</f>
        <v>0.19999999999999996</v>
      </c>
      <c r="AG23" s="178"/>
    </row>
    <row r="24" spans="1:34" x14ac:dyDescent="0.35">
      <c r="B24" s="160" t="s">
        <v>3</v>
      </c>
      <c r="D24" s="185">
        <v>6136</v>
      </c>
      <c r="E24" s="185">
        <v>7073</v>
      </c>
      <c r="F24" s="185">
        <v>7324</v>
      </c>
      <c r="G24" s="185">
        <v>6840</v>
      </c>
      <c r="H24" s="185">
        <v>7105</v>
      </c>
      <c r="I24" s="159"/>
      <c r="J24" s="159" t="str">
        <f t="shared" si="5"/>
        <v>Sprint</v>
      </c>
      <c r="K24" s="186">
        <f t="shared" ref="K24:K26" si="9">D24/D$27</f>
        <v>0.15987493486190724</v>
      </c>
      <c r="L24" s="186">
        <f t="shared" si="6"/>
        <v>0.15052459086169104</v>
      </c>
      <c r="M24" s="186">
        <f t="shared" si="6"/>
        <v>0.16336545324768023</v>
      </c>
      <c r="N24" s="186">
        <f t="shared" si="6"/>
        <v>0.16093360312455884</v>
      </c>
      <c r="O24" s="186">
        <f t="shared" si="6"/>
        <v>0.16906603212373586</v>
      </c>
      <c r="P24" s="159"/>
      <c r="Q24" s="241"/>
      <c r="R24" s="162" t="s">
        <v>3</v>
      </c>
      <c r="S24" s="187">
        <f>VLOOKUP(S$22,$B$23:$H$27,7,FALSE)/($H$27-VLOOKUP($R24,$B$23:$H$27,7,FALSE))</f>
        <v>0.31460481099656357</v>
      </c>
      <c r="T24" s="187">
        <v>0</v>
      </c>
      <c r="U24" s="187">
        <f>VLOOKUP(U$22,$B$23:$H$27,7,FALSE)/($H$27-VLOOKUP($R24,$B$23:$H$27,7,FALSE))</f>
        <v>0.247737686139748</v>
      </c>
      <c r="V24" s="187">
        <f>VLOOKUP(V$22,$B$23:$H$27,7,FALSE)/($H$27-VLOOKUP($R24,$B$23:$H$27,7,FALSE))</f>
        <v>0.43765750286368843</v>
      </c>
      <c r="W24" s="173"/>
      <c r="X24" s="183"/>
      <c r="Y24" s="188"/>
      <c r="Z24" s="241"/>
      <c r="AA24" s="162" t="str">
        <f t="shared" ref="AA24:AA26" si="10">R24</f>
        <v>Sprint</v>
      </c>
      <c r="AB24" s="187">
        <f t="shared" ref="AB24:AD26" si="11">S24*(1-$D$1)</f>
        <v>0.25168384879725086</v>
      </c>
      <c r="AC24" s="187">
        <v>0</v>
      </c>
      <c r="AD24" s="187">
        <f>U24*(1-$D$1)</f>
        <v>0.19819014891179842</v>
      </c>
      <c r="AE24" s="187">
        <f t="shared" si="8"/>
        <v>0.35012600229095076</v>
      </c>
      <c r="AF24" s="187">
        <f t="shared" ref="AF24:AF26" si="12">1-SUM(AB24:AE24)</f>
        <v>0.19999999999999996</v>
      </c>
      <c r="AG24" s="178"/>
    </row>
    <row r="25" spans="1:34" x14ac:dyDescent="0.35">
      <c r="B25" s="160" t="s">
        <v>2</v>
      </c>
      <c r="D25" s="185">
        <v>6317</v>
      </c>
      <c r="E25" s="185">
        <v>9601</v>
      </c>
      <c r="F25" s="185">
        <v>9401</v>
      </c>
      <c r="G25" s="185">
        <v>9269</v>
      </c>
      <c r="H25" s="185">
        <v>8651</v>
      </c>
      <c r="I25" s="159"/>
      <c r="J25" s="159" t="str">
        <f t="shared" si="5"/>
        <v>T-Mobile</v>
      </c>
      <c r="K25" s="186">
        <f t="shared" si="9"/>
        <v>0.16459093277748826</v>
      </c>
      <c r="L25" s="186">
        <f t="shared" si="6"/>
        <v>0.20432441635276341</v>
      </c>
      <c r="M25" s="186">
        <f t="shared" si="6"/>
        <v>0.20969396859386152</v>
      </c>
      <c r="N25" s="186">
        <f t="shared" si="6"/>
        <v>0.21808385487741752</v>
      </c>
      <c r="O25" s="186">
        <f t="shared" si="6"/>
        <v>0.20585365853658535</v>
      </c>
      <c r="P25" s="159"/>
      <c r="Q25" s="241"/>
      <c r="R25" s="162" t="s">
        <v>2</v>
      </c>
      <c r="S25" s="187">
        <f>VLOOKUP(S$22,$B$23:$H$27,7,FALSE)/($H$27-VLOOKUP($R25,$B$23:$H$27,7,FALSE))</f>
        <v>0.32917840234913404</v>
      </c>
      <c r="T25" s="187">
        <f>VLOOKUP(T$22,$B$23:$H$27,7,FALSE)/($H$27-VLOOKUP($R25,$B$23:$H$27,7,FALSE))</f>
        <v>0.21289027386588363</v>
      </c>
      <c r="U25" s="187">
        <v>0</v>
      </c>
      <c r="V25" s="187">
        <f>VLOOKUP(V$22,$B$23:$H$27,7,FALSE)/($H$27-VLOOKUP($R25,$B$23:$H$27,7,FALSE))</f>
        <v>0.4579313237849823</v>
      </c>
      <c r="W25" s="173"/>
      <c r="X25" s="183"/>
      <c r="Y25" s="188"/>
      <c r="Z25" s="241"/>
      <c r="AA25" s="162" t="str">
        <f t="shared" si="10"/>
        <v>T-Mobile</v>
      </c>
      <c r="AB25" s="187">
        <f t="shared" si="11"/>
        <v>0.26334272187930724</v>
      </c>
      <c r="AC25" s="187">
        <f>T25*(1-$D$1)</f>
        <v>0.17031221909270691</v>
      </c>
      <c r="AD25" s="187">
        <v>0</v>
      </c>
      <c r="AE25" s="187">
        <f t="shared" si="8"/>
        <v>0.36634505902798586</v>
      </c>
      <c r="AF25" s="187">
        <f t="shared" si="12"/>
        <v>0.19999999999999996</v>
      </c>
      <c r="AG25" s="178"/>
    </row>
    <row r="26" spans="1:34" x14ac:dyDescent="0.35">
      <c r="B26" s="160" t="s">
        <v>0</v>
      </c>
      <c r="D26" s="185">
        <v>15066</v>
      </c>
      <c r="E26" s="185">
        <v>17798</v>
      </c>
      <c r="F26" s="185">
        <v>16415</v>
      </c>
      <c r="G26" s="185">
        <v>15347</v>
      </c>
      <c r="H26" s="185">
        <v>15283</v>
      </c>
      <c r="I26" s="159"/>
      <c r="J26" s="94" t="str">
        <f t="shared" si="5"/>
        <v>Verizon Wireless</v>
      </c>
      <c r="K26" s="186">
        <f t="shared" si="9"/>
        <v>0.39254820218863989</v>
      </c>
      <c r="L26" s="186">
        <f t="shared" si="6"/>
        <v>0.37876949924450404</v>
      </c>
      <c r="M26" s="186">
        <f t="shared" si="6"/>
        <v>0.36614471805852961</v>
      </c>
      <c r="N26" s="186">
        <f t="shared" si="6"/>
        <v>0.36108888993459132</v>
      </c>
      <c r="O26" s="186">
        <f t="shared" si="6"/>
        <v>0.36366448542534208</v>
      </c>
      <c r="P26" s="159"/>
      <c r="Q26" s="241"/>
      <c r="R26" s="162" t="s">
        <v>0</v>
      </c>
      <c r="S26" s="187">
        <f>VLOOKUP(S$22,$B$23:$H$27,7,FALSE)/($H$27-VLOOKUP($R26,$B$23:$H$27,7,FALSE))</f>
        <v>0.41081444918106347</v>
      </c>
      <c r="T26" s="187">
        <f>VLOOKUP(T$22,$B$23:$H$27,7,FALSE)/($H$27-VLOOKUP($R26,$B$23:$H$27,7,FALSE))</f>
        <v>0.26568693441029095</v>
      </c>
      <c r="U26" s="187">
        <f>VLOOKUP(U$22,$B$23:$H$27,7,FALSE)/($H$27-VLOOKUP($R26,$B$23:$H$27,7,FALSE))</f>
        <v>0.32349861640864558</v>
      </c>
      <c r="V26" s="187">
        <v>0</v>
      </c>
      <c r="W26" s="173"/>
      <c r="X26" s="183"/>
      <c r="Y26" s="188"/>
      <c r="Z26" s="241"/>
      <c r="AA26" s="162" t="str">
        <f t="shared" si="10"/>
        <v>Verizon Wireless</v>
      </c>
      <c r="AB26" s="187">
        <f t="shared" si="11"/>
        <v>0.3286515593448508</v>
      </c>
      <c r="AC26" s="187">
        <f t="shared" si="11"/>
        <v>0.21254954752823277</v>
      </c>
      <c r="AD26" s="187">
        <f t="shared" si="11"/>
        <v>0.25879889312691645</v>
      </c>
      <c r="AE26" s="187">
        <v>0</v>
      </c>
      <c r="AF26" s="187">
        <f t="shared" si="12"/>
        <v>0.19999999999999996</v>
      </c>
      <c r="AG26" s="178"/>
    </row>
    <row r="27" spans="1:34" ht="15" thickBot="1" x14ac:dyDescent="0.4">
      <c r="B27" s="160" t="s">
        <v>84</v>
      </c>
      <c r="D27" s="189">
        <f>SUM(D23:D26)</f>
        <v>38380</v>
      </c>
      <c r="E27" s="189">
        <f t="shared" ref="E27:H27" si="13">SUM(E23:E26)</f>
        <v>46989</v>
      </c>
      <c r="F27" s="189">
        <f t="shared" si="13"/>
        <v>44832</v>
      </c>
      <c r="G27" s="189">
        <f t="shared" si="13"/>
        <v>42502</v>
      </c>
      <c r="H27" s="189">
        <f t="shared" si="13"/>
        <v>42025</v>
      </c>
      <c r="I27" s="159"/>
      <c r="J27" s="95" t="str">
        <f t="shared" si="5"/>
        <v>TOTAL</v>
      </c>
      <c r="K27" s="190">
        <f>SUM(K23:K26)</f>
        <v>1</v>
      </c>
      <c r="L27" s="190">
        <f t="shared" ref="L27:O27" si="14">SUM(L23:L26)</f>
        <v>1</v>
      </c>
      <c r="M27" s="190">
        <f t="shared" si="14"/>
        <v>1</v>
      </c>
      <c r="N27" s="190">
        <f t="shared" si="14"/>
        <v>1</v>
      </c>
      <c r="O27" s="190">
        <f t="shared" si="14"/>
        <v>1</v>
      </c>
      <c r="P27" s="159"/>
      <c r="Q27" s="242"/>
      <c r="R27" s="191"/>
      <c r="S27" s="192"/>
      <c r="T27" s="192"/>
      <c r="U27" s="192"/>
      <c r="V27" s="192"/>
      <c r="W27" s="192"/>
      <c r="X27" s="193"/>
      <c r="Y27" s="159"/>
      <c r="Z27" s="242"/>
      <c r="AA27" s="191"/>
      <c r="AB27" s="192"/>
      <c r="AC27" s="192"/>
      <c r="AD27" s="192"/>
      <c r="AE27" s="192"/>
      <c r="AF27" s="192"/>
      <c r="AG27" s="179"/>
    </row>
    <row r="28" spans="1:34" ht="15" thickTop="1" x14ac:dyDescent="0.35">
      <c r="D28" s="180"/>
      <c r="E28" s="180"/>
      <c r="F28" s="180"/>
      <c r="G28" s="180"/>
      <c r="H28" s="180"/>
    </row>
    <row r="29" spans="1:34" ht="46.5" customHeight="1" x14ac:dyDescent="0.35">
      <c r="B29" s="237" t="s">
        <v>97</v>
      </c>
      <c r="C29" s="237"/>
      <c r="D29" s="237"/>
      <c r="E29" s="237"/>
      <c r="F29" s="237"/>
      <c r="G29" s="237"/>
      <c r="H29" s="237"/>
      <c r="R29" s="237" t="s">
        <v>97</v>
      </c>
      <c r="S29" s="237"/>
      <c r="T29" s="237"/>
      <c r="U29" s="237"/>
      <c r="V29" s="237"/>
      <c r="W29" s="237"/>
      <c r="X29" s="237"/>
      <c r="AA29" s="237" t="s">
        <v>97</v>
      </c>
      <c r="AB29" s="237"/>
      <c r="AC29" s="237"/>
      <c r="AD29" s="237"/>
      <c r="AE29" s="237"/>
      <c r="AF29" s="237"/>
      <c r="AG29" s="237"/>
    </row>
    <row r="31" spans="1:34" x14ac:dyDescent="0.35">
      <c r="R31" s="159"/>
      <c r="S31" s="159"/>
      <c r="T31" s="159"/>
      <c r="U31" s="159"/>
      <c r="AA31" s="159"/>
      <c r="AB31" s="159"/>
      <c r="AC31" s="159"/>
      <c r="AD31" s="159"/>
    </row>
    <row r="32" spans="1:34" x14ac:dyDescent="0.35"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</row>
    <row r="33" spans="2:30" x14ac:dyDescent="0.35"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</row>
    <row r="34" spans="2:30" x14ac:dyDescent="0.35"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</row>
    <row r="36" spans="2:30" x14ac:dyDescent="0.35">
      <c r="B36" s="102"/>
    </row>
    <row r="37" spans="2:30" x14ac:dyDescent="0.35">
      <c r="B37" s="102"/>
    </row>
    <row r="38" spans="2:30" x14ac:dyDescent="0.35">
      <c r="B38" s="102"/>
    </row>
    <row r="39" spans="2:30" x14ac:dyDescent="0.35">
      <c r="B39" s="103"/>
      <c r="C39" s="161"/>
    </row>
    <row r="40" spans="2:30" x14ac:dyDescent="0.35">
      <c r="B40" s="103"/>
      <c r="C40" s="161"/>
    </row>
    <row r="41" spans="2:30" x14ac:dyDescent="0.35">
      <c r="B41" s="103"/>
      <c r="C41" s="161"/>
    </row>
    <row r="42" spans="2:30" x14ac:dyDescent="0.35">
      <c r="B42" s="103"/>
      <c r="C42" s="161"/>
    </row>
    <row r="43" spans="2:30" x14ac:dyDescent="0.35">
      <c r="B43" s="161"/>
      <c r="C43" s="161"/>
    </row>
    <row r="44" spans="2:30" x14ac:dyDescent="0.35">
      <c r="B44" s="161"/>
      <c r="C44" s="161"/>
    </row>
    <row r="45" spans="2:30" x14ac:dyDescent="0.35">
      <c r="B45" s="161"/>
      <c r="C45" s="161"/>
    </row>
    <row r="46" spans="2:30" x14ac:dyDescent="0.35">
      <c r="B46" s="161"/>
      <c r="C46" s="161"/>
    </row>
    <row r="47" spans="2:30" x14ac:dyDescent="0.35">
      <c r="B47" s="161"/>
      <c r="C47" s="161"/>
    </row>
    <row r="48" spans="2:30" x14ac:dyDescent="0.35">
      <c r="B48" s="161"/>
      <c r="C48" s="161"/>
    </row>
  </sheetData>
  <mergeCells count="10">
    <mergeCell ref="B29:H29"/>
    <mergeCell ref="R29:X29"/>
    <mergeCell ref="AA29:AG29"/>
    <mergeCell ref="S5:V5"/>
    <mergeCell ref="AB5:AE5"/>
    <mergeCell ref="B14:H14"/>
    <mergeCell ref="S21:V21"/>
    <mergeCell ref="AB21:AE21"/>
    <mergeCell ref="Q23:Q27"/>
    <mergeCell ref="Z23:Z27"/>
  </mergeCells>
  <pageMargins left="0.7" right="0.7" top="0.75" bottom="0.75" header="0.3" footer="0.3"/>
  <pageSetup orientation="portrait" r:id="rId1"/>
  <ignoredErrors>
    <ignoredError sqref="D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zoomScaleNormal="100" workbookViewId="0">
      <selection activeCell="G5" sqref="G5"/>
    </sheetView>
  </sheetViews>
  <sheetFormatPr defaultRowHeight="14.5" outlineLevelRow="1" outlineLevelCol="2" x14ac:dyDescent="0.35"/>
  <cols>
    <col min="1" max="1" width="18" style="2" customWidth="1" outlineLevel="2"/>
    <col min="2" max="2" width="20.54296875" customWidth="1"/>
    <col min="3" max="3" width="11.1796875" bestFit="1" customWidth="1"/>
    <col min="4" max="4" width="12" bestFit="1" customWidth="1"/>
    <col min="5" max="5" width="10.1796875" bestFit="1" customWidth="1"/>
  </cols>
  <sheetData>
    <row r="1" spans="1:5" s="2" customFormat="1" ht="15" outlineLevel="1" x14ac:dyDescent="0.25">
      <c r="B1" s="2">
        <v>65</v>
      </c>
      <c r="C1" s="2">
        <f>MAX($B$1:B$1)+1</f>
        <v>66</v>
      </c>
      <c r="D1" s="2">
        <f>MAX($B$1:C$1)+1</f>
        <v>67</v>
      </c>
      <c r="E1" s="2">
        <f>MAX($B$1:D$1)+1</f>
        <v>68</v>
      </c>
    </row>
    <row r="2" spans="1:5" s="2" customFormat="1" ht="15" outlineLevel="1" x14ac:dyDescent="0.25">
      <c r="C2" s="2" t="s">
        <v>33</v>
      </c>
      <c r="D2" s="2" t="s">
        <v>36</v>
      </c>
      <c r="E2" s="2" t="s">
        <v>37</v>
      </c>
    </row>
    <row r="3" spans="1:5" s="136" customFormat="1" ht="18.75" x14ac:dyDescent="0.3">
      <c r="B3" s="231" t="s">
        <v>110</v>
      </c>
      <c r="C3" s="197"/>
      <c r="D3" s="197"/>
      <c r="E3" s="197"/>
    </row>
    <row r="4" spans="1:5" ht="18.75" x14ac:dyDescent="0.3">
      <c r="B4" s="4" t="s">
        <v>23</v>
      </c>
      <c r="C4" s="3"/>
      <c r="D4" s="3"/>
      <c r="E4" s="3"/>
    </row>
    <row r="5" spans="1:5" ht="6" customHeight="1" thickBot="1" x14ac:dyDescent="0.3">
      <c r="B5" s="6"/>
      <c r="C5" s="6"/>
      <c r="D5" s="6"/>
      <c r="E5" s="6"/>
    </row>
    <row r="6" spans="1:5" ht="6" customHeight="1" thickTop="1" x14ac:dyDescent="0.25">
      <c r="B6" s="11"/>
      <c r="C6" s="11"/>
      <c r="D6" s="11"/>
      <c r="E6" s="11"/>
    </row>
    <row r="7" spans="1:5" ht="30" x14ac:dyDescent="0.25">
      <c r="B7" t="s">
        <v>96</v>
      </c>
      <c r="C7" s="7" t="s">
        <v>64</v>
      </c>
      <c r="D7" s="7" t="s">
        <v>65</v>
      </c>
      <c r="E7" s="7" t="s">
        <v>66</v>
      </c>
    </row>
    <row r="8" spans="1:5" ht="15" x14ac:dyDescent="0.25">
      <c r="B8" s="150" t="str">
        <f>"["&amp;CHAR(B1)&amp;"]"</f>
        <v>[A]</v>
      </c>
      <c r="C8" s="7" t="str">
        <f>"["&amp;CHAR(C1)&amp;"]"</f>
        <v>[B]</v>
      </c>
      <c r="D8" s="131" t="str">
        <f t="shared" ref="D8:E8" si="0">"["&amp;CHAR(D1)&amp;"]"</f>
        <v>[C]</v>
      </c>
      <c r="E8" s="131" t="str">
        <f t="shared" si="0"/>
        <v>[D]</v>
      </c>
    </row>
    <row r="9" spans="1:5" ht="6" customHeight="1" x14ac:dyDescent="0.25">
      <c r="B9" s="9"/>
      <c r="C9" s="10"/>
      <c r="D9" s="9"/>
      <c r="E9" s="9"/>
    </row>
    <row r="10" spans="1:5" ht="6" customHeight="1" x14ac:dyDescent="0.25">
      <c r="C10" s="5"/>
    </row>
    <row r="11" spans="1:5" ht="15" customHeight="1" x14ac:dyDescent="0.25">
      <c r="A11" s="2" t="s">
        <v>105</v>
      </c>
      <c r="B11" t="s">
        <v>60</v>
      </c>
      <c r="C11" s="15">
        <f ca="1">INDEX(INDIRECT("'CPPI - "&amp;$A11&amp;"'!$E:$E"),MATCH(C$2,INDIRECT("'CPPI - "&amp;$A11&amp;"'!$C:$C"),0))</f>
        <v>6.8201518390310856E-2</v>
      </c>
      <c r="D11" s="15">
        <f t="shared" ref="D11:E14" ca="1" si="1">INDEX(INDIRECT("'CPPI - "&amp;$A11&amp;"'!$E:$E"),MATCH(D$2,INDIRECT("'CPPI - "&amp;$A11&amp;"'!$C:$C"),0))</f>
        <v>0.21937759004867188</v>
      </c>
      <c r="E11" s="15">
        <f t="shared" ca="1" si="1"/>
        <v>0.15117607165836103</v>
      </c>
    </row>
    <row r="12" spans="1:5" ht="15" customHeight="1" x14ac:dyDescent="0.25">
      <c r="A12" s="2" t="s">
        <v>106</v>
      </c>
      <c r="B12" t="s">
        <v>61</v>
      </c>
      <c r="C12" s="15">
        <f t="shared" ref="C12:C14" ca="1" si="2">INDEX(INDIRECT("'CPPI - "&amp;$A12&amp;"'!$E:$E"),MATCH(C$2,INDIRECT("'CPPI - "&amp;$A12&amp;"'!$C:$C"),0))</f>
        <v>8.7545705301630014E-2</v>
      </c>
      <c r="D12" s="15">
        <f t="shared" ca="1" si="1"/>
        <v>0.29254408037328783</v>
      </c>
      <c r="E12" s="15">
        <f t="shared" ca="1" si="1"/>
        <v>0.2049983750716578</v>
      </c>
    </row>
    <row r="13" spans="1:5" ht="15" customHeight="1" x14ac:dyDescent="0.25">
      <c r="A13" s="2" t="s">
        <v>107</v>
      </c>
      <c r="B13" t="s">
        <v>62</v>
      </c>
      <c r="C13" s="15">
        <f t="shared" ca="1" si="2"/>
        <v>6.8311614130573683E-2</v>
      </c>
      <c r="D13" s="15">
        <f t="shared" ca="1" si="1"/>
        <v>0.21937759004867188</v>
      </c>
      <c r="E13" s="15">
        <f t="shared" ca="1" si="1"/>
        <v>0.1510659759180982</v>
      </c>
    </row>
    <row r="14" spans="1:5" ht="15" customHeight="1" x14ac:dyDescent="0.25">
      <c r="A14" s="2" t="s">
        <v>108</v>
      </c>
      <c r="B14" t="s">
        <v>63</v>
      </c>
      <c r="C14" s="15">
        <f t="shared" ca="1" si="2"/>
        <v>8.7689416780830504E-2</v>
      </c>
      <c r="D14" s="15">
        <f t="shared" ca="1" si="1"/>
        <v>0.29254408037328783</v>
      </c>
      <c r="E14" s="15">
        <f t="shared" ca="1" si="1"/>
        <v>0.20485466359245733</v>
      </c>
    </row>
    <row r="15" spans="1:5" ht="6" customHeight="1" thickBot="1" x14ac:dyDescent="0.3">
      <c r="B15" s="6"/>
      <c r="C15" s="6"/>
      <c r="D15" s="6"/>
      <c r="E15" s="13"/>
    </row>
    <row r="16" spans="1:5" ht="6" customHeight="1" thickTop="1" x14ac:dyDescent="0.25"/>
    <row r="17" spans="1:5" ht="30" customHeight="1" x14ac:dyDescent="0.25">
      <c r="B17" s="232" t="s">
        <v>109</v>
      </c>
      <c r="C17" s="232"/>
      <c r="D17" s="232"/>
      <c r="E17" s="232"/>
    </row>
    <row r="18" spans="1:5" x14ac:dyDescent="0.35">
      <c r="B18" s="14" t="s">
        <v>7</v>
      </c>
      <c r="C18" s="14"/>
      <c r="D18" s="14"/>
      <c r="E18" s="14"/>
    </row>
    <row r="19" spans="1:5" x14ac:dyDescent="0.35">
      <c r="B19" s="14" t="s">
        <v>71</v>
      </c>
      <c r="C19" s="14"/>
      <c r="D19" s="14"/>
      <c r="E19" s="14"/>
    </row>
    <row r="20" spans="1:5" s="127" customFormat="1" x14ac:dyDescent="0.35">
      <c r="A20" s="2"/>
      <c r="B20" s="147" t="str">
        <f>B8&amp;": Two-firm coalition."</f>
        <v>[A]: Two-firm coalition.</v>
      </c>
      <c r="C20" s="147"/>
      <c r="D20" s="147"/>
      <c r="E20" s="147"/>
    </row>
    <row r="21" spans="1:5" x14ac:dyDescent="0.35">
      <c r="A21" s="17"/>
      <c r="B21" s="14" t="str">
        <f>C8&amp;": CPPI for listed firm pair before Sprint/T-Mobile merger."</f>
        <v>[B]: CPPI for listed firm pair before Sprint/T-Mobile merger.</v>
      </c>
      <c r="C21" s="14"/>
      <c r="D21" s="14"/>
      <c r="E21" s="14"/>
    </row>
    <row r="22" spans="1:5" x14ac:dyDescent="0.35">
      <c r="B22" s="14" t="str">
        <f>D8&amp;": CPPI for listed firm pair after Sprint/T-Mobile merger."</f>
        <v>[C]: CPPI for listed firm pair after Sprint/T-Mobile merger.</v>
      </c>
      <c r="C22" s="14"/>
      <c r="D22" s="14"/>
      <c r="E22" s="14"/>
    </row>
    <row r="23" spans="1:5" ht="30" customHeight="1" x14ac:dyDescent="0.35">
      <c r="A23" s="18"/>
      <c r="B23" s="233" t="str">
        <f>E8&amp;": Change in CPPI for listed firm pair due to Sprint/T-Mobile merger."</f>
        <v>[D]: Change in CPPI for listed firm pair due to Sprint/T-Mobile merger.</v>
      </c>
      <c r="C23" s="233"/>
      <c r="D23" s="233"/>
      <c r="E23" s="233"/>
    </row>
    <row r="24" spans="1:5" x14ac:dyDescent="0.35">
      <c r="A24" s="19"/>
    </row>
  </sheetData>
  <mergeCells count="2">
    <mergeCell ref="B17:E17"/>
    <mergeCell ref="B23:E23"/>
  </mergeCells>
  <printOptions horizontalCentered="1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="110" zoomScaleNormal="110" workbookViewId="0"/>
  </sheetViews>
  <sheetFormatPr defaultRowHeight="14.5" outlineLevelRow="1" outlineLevelCol="2" x14ac:dyDescent="0.35"/>
  <cols>
    <col min="1" max="1" width="14.7265625" style="2" customWidth="1" outlineLevel="1"/>
    <col min="2" max="2" width="9.1796875" style="2" customWidth="1" outlineLevel="2"/>
    <col min="3" max="3" width="16.26953125" customWidth="1"/>
    <col min="4" max="4" width="4.1796875" customWidth="1"/>
    <col min="5" max="5" width="11.1796875" customWidth="1"/>
    <col min="6" max="6" width="9.81640625" customWidth="1"/>
    <col min="7" max="7" width="11.81640625" customWidth="1"/>
    <col min="8" max="8" width="11.1796875" customWidth="1"/>
    <col min="9" max="10" width="13.26953125" customWidth="1"/>
    <col min="11" max="11" width="11.453125" bestFit="1" customWidth="1"/>
    <col min="12" max="12" width="11.81640625" customWidth="1"/>
    <col min="13" max="13" width="11.26953125" bestFit="1" customWidth="1"/>
  </cols>
  <sheetData>
    <row r="1" spans="1:15" s="2" customFormat="1" outlineLevel="1" x14ac:dyDescent="0.3">
      <c r="E1" s="2">
        <v>65</v>
      </c>
      <c r="F1" s="2">
        <f>MAX($E$1:E$1)+1</f>
        <v>66</v>
      </c>
      <c r="G1" s="2">
        <f>MAX($E$1:F$1)+1</f>
        <v>67</v>
      </c>
      <c r="H1" s="2">
        <f>MAX($E$1:G$1)+1</f>
        <v>68</v>
      </c>
      <c r="I1" s="2">
        <f>MAX($E$1:H$1)+1</f>
        <v>69</v>
      </c>
      <c r="J1" s="2">
        <f>MAX($E$1:I$1)+1</f>
        <v>70</v>
      </c>
      <c r="K1" s="2">
        <f>MAX($E$1:J$1)+1</f>
        <v>71</v>
      </c>
      <c r="L1" s="2">
        <f>MAX($E$1:K$1)+1</f>
        <v>72</v>
      </c>
      <c r="M1" s="2">
        <f>MAX($E$1:L$1)+1</f>
        <v>73</v>
      </c>
    </row>
    <row r="2" spans="1:15" s="2" customFormat="1" outlineLevel="1" x14ac:dyDescent="0.3">
      <c r="E2" s="2">
        <v>2017</v>
      </c>
      <c r="F2" s="2" t="s">
        <v>68</v>
      </c>
      <c r="H2" s="2" t="s">
        <v>69</v>
      </c>
    </row>
    <row r="3" spans="1:15" ht="18" x14ac:dyDescent="0.35">
      <c r="C3" s="4" t="s">
        <v>23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ht="18" x14ac:dyDescent="0.35">
      <c r="C4" s="4" t="s">
        <v>29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ht="6" customHeight="1" thickBot="1" x14ac:dyDescent="0.35"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 ht="6" customHeight="1" thickTop="1" x14ac:dyDescent="0.3"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5" ht="15" customHeight="1" x14ac:dyDescent="0.3">
      <c r="A7" s="2">
        <v>1</v>
      </c>
      <c r="C7" s="32" t="s">
        <v>38</v>
      </c>
      <c r="D7" s="8" t="str">
        <f>"["&amp;$A7&amp;"]"</f>
        <v>[1]</v>
      </c>
      <c r="E7" s="77">
        <v>5.8400000000000001E-2</v>
      </c>
      <c r="F7" s="11"/>
      <c r="G7" s="11"/>
      <c r="H7" s="11"/>
      <c r="I7" s="11"/>
      <c r="J7" s="11"/>
      <c r="K7" s="11"/>
      <c r="L7" s="11"/>
    </row>
    <row r="8" spans="1:15" ht="6" customHeight="1" x14ac:dyDescent="0.3"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5" ht="58" x14ac:dyDescent="0.35">
      <c r="E9" s="7" t="s">
        <v>10</v>
      </c>
      <c r="F9" s="7" t="s">
        <v>13</v>
      </c>
      <c r="G9" s="7" t="s">
        <v>26</v>
      </c>
      <c r="H9" s="7" t="s">
        <v>25</v>
      </c>
      <c r="I9" s="7" t="s">
        <v>40</v>
      </c>
      <c r="J9" s="53" t="s">
        <v>41</v>
      </c>
      <c r="K9" s="7" t="s">
        <v>31</v>
      </c>
      <c r="L9" s="7" t="s">
        <v>32</v>
      </c>
      <c r="M9" s="7" t="s">
        <v>39</v>
      </c>
      <c r="O9" s="27"/>
    </row>
    <row r="10" spans="1:15" ht="15.75" customHeight="1" x14ac:dyDescent="0.3">
      <c r="E10" s="7" t="str">
        <f t="shared" ref="E10:M10" si="0">"["&amp;CHAR(E1)&amp;"]"</f>
        <v>[A]</v>
      </c>
      <c r="F10" s="7" t="str">
        <f t="shared" si="0"/>
        <v>[B]</v>
      </c>
      <c r="G10" s="7" t="str">
        <f t="shared" si="0"/>
        <v>[C]</v>
      </c>
      <c r="H10" s="7" t="str">
        <f t="shared" si="0"/>
        <v>[D]</v>
      </c>
      <c r="I10" s="7" t="str">
        <f t="shared" si="0"/>
        <v>[E]</v>
      </c>
      <c r="J10" s="7" t="str">
        <f t="shared" si="0"/>
        <v>[F]</v>
      </c>
      <c r="K10" s="7" t="str">
        <f t="shared" si="0"/>
        <v>[G]</v>
      </c>
      <c r="L10" s="7" t="str">
        <f t="shared" si="0"/>
        <v>[H]</v>
      </c>
      <c r="M10" s="7" t="str">
        <f t="shared" si="0"/>
        <v>[I]</v>
      </c>
    </row>
    <row r="11" spans="1:15" ht="6" customHeight="1" x14ac:dyDescent="0.3">
      <c r="C11" s="9"/>
      <c r="D11" s="9"/>
      <c r="E11" s="10"/>
      <c r="F11" s="9"/>
      <c r="G11" s="9"/>
      <c r="H11" s="9"/>
      <c r="I11" s="9"/>
      <c r="J11" s="9"/>
      <c r="K11" s="9"/>
      <c r="L11" s="9"/>
      <c r="M11" s="9"/>
    </row>
    <row r="12" spans="1:15" ht="6" customHeight="1" x14ac:dyDescent="0.3">
      <c r="E12" s="5"/>
    </row>
    <row r="13" spans="1:15" ht="15" customHeight="1" x14ac:dyDescent="0.3">
      <c r="C13" s="32" t="s">
        <v>28</v>
      </c>
      <c r="E13" s="5"/>
    </row>
    <row r="14" spans="1:15" ht="15" customHeight="1" x14ac:dyDescent="0.3">
      <c r="A14" s="2">
        <f>MAX($A$7:$A13)+1</f>
        <v>2</v>
      </c>
      <c r="B14" s="2" t="s">
        <v>2</v>
      </c>
      <c r="C14" t="s">
        <v>2</v>
      </c>
      <c r="D14" s="8" t="str">
        <f>"["&amp;$A14&amp;"]"</f>
        <v>[2]</v>
      </c>
      <c r="E14" s="67">
        <f>INDEX('Div. Ratios Summary'!$A:$Z,MATCH($B15,'Div. Ratios Summary'!$C:$C,0),MATCH($B$14,'Div. Ratios Summary'!$7:$7,0))</f>
        <v>0.36634505902798586</v>
      </c>
      <c r="F14" s="33">
        <f>INDEX('Margins and Elasticities'!$A:$Z,MATCH($B14,'Margins and Elasticities'!$B:$B,0),MATCH($F$2,'Margins and Elasticities'!$7:$7,0))</f>
        <v>0.54945402611970962</v>
      </c>
      <c r="G14" s="1">
        <f>INDEX(Subs!$1:$1048576,MATCH($C14,Subs!$B:$B,0),MATCH($E$2,Subs!$6:$6,0))*1000</f>
        <v>34114</v>
      </c>
      <c r="H14" s="31">
        <f>INDEX('Margins and Elasticities'!$A:$Z,MATCH($B14,'Margins and Elasticities'!$B:$B,0),MATCH($H$2,'Margins and Elasticities'!$7:$7,0))</f>
        <v>-1.8199884839539422</v>
      </c>
      <c r="I14" s="31">
        <f>(E15*$G$15*$H$15)/(G14*H14)</f>
        <v>0.82362834508687754</v>
      </c>
      <c r="J14" s="31">
        <f>1+(1/(F14*H14))</f>
        <v>0</v>
      </c>
      <c r="K14" s="33">
        <f>(($B$32*I14-J14)/(1-$B$32*I14))*F14</f>
        <v>1.898312853327256</v>
      </c>
      <c r="L14" s="33">
        <f>(($B$32*I14-J14)/(1-I14))*F14</f>
        <v>2.416018771760764</v>
      </c>
      <c r="M14" s="33">
        <f>MIN(K14,L15)</f>
        <v>6.8719650093769721E-2</v>
      </c>
    </row>
    <row r="15" spans="1:15" ht="15" customHeight="1" x14ac:dyDescent="0.3">
      <c r="A15" s="2">
        <f>MAX($A$7:$A14)+1</f>
        <v>3</v>
      </c>
      <c r="B15" s="2" t="s">
        <v>0</v>
      </c>
      <c r="C15" s="9" t="s">
        <v>0</v>
      </c>
      <c r="D15" s="34" t="str">
        <f>"["&amp;$A15&amp;"]"</f>
        <v>[3]</v>
      </c>
      <c r="E15" s="61">
        <f>INDEX('Div. Ratios Summary'!$A:$Z,MATCH('CPPI - TMUS-Verizon'!$B14,'Div. Ratios Summary'!$C:$C,0),MATCH('CPPI - TMUS-Verizon'!$B$15,'Div. Ratios Summary'!$7:$7,0))</f>
        <v>0.25879889312691645</v>
      </c>
      <c r="F15" s="36">
        <f>INDEX('Margins and Elasticities'!$A:$Z,MATCH($B15,'Margins and Elasticities'!$B:$B,0),MATCH($F$2,'Margins and Elasticities'!$7:$7,0))</f>
        <v>0.56102370718764427</v>
      </c>
      <c r="G15" s="37">
        <f>INDEX(Subs!$1:$1048576,MATCH($C15,Subs!$B:$B,0),MATCH($E$2,Subs!$6:$6,0))*1000</f>
        <v>110854</v>
      </c>
      <c r="H15" s="38">
        <f>INDEX('Margins and Elasticities'!$A:$Z,MATCH($B15,'Margins and Elasticities'!$B:$B,0),MATCH($H$2,'Margins and Elasticities'!$7:$7,0))</f>
        <v>-1.7824558698471049</v>
      </c>
      <c r="I15" s="38">
        <f>(E14*$G$14*$H$14)/(G15*H15)</f>
        <v>0.11511223034578412</v>
      </c>
      <c r="J15" s="38">
        <f>1+(1/(F15*H15))</f>
        <v>0</v>
      </c>
      <c r="K15" s="36">
        <f>(($B$32*I15-J15)/(1-$B$32*I15))*F15</f>
        <v>6.8201518390310856E-2</v>
      </c>
      <c r="L15" s="36">
        <f>(($B$32*I15-J15)/(1-I15))*F15</f>
        <v>6.8719650093769721E-2</v>
      </c>
      <c r="M15" s="36">
        <f>MIN(K15,L14)</f>
        <v>6.8201518390310856E-2</v>
      </c>
    </row>
    <row r="16" spans="1:15" ht="6" customHeight="1" x14ac:dyDescent="0.3">
      <c r="C16" s="11"/>
      <c r="D16" s="39"/>
      <c r="E16" s="40"/>
      <c r="F16" s="41"/>
      <c r="G16" s="42"/>
      <c r="H16" s="31"/>
      <c r="I16" s="43"/>
      <c r="J16" s="43"/>
      <c r="K16" s="41"/>
      <c r="L16" s="41"/>
      <c r="M16" s="41"/>
    </row>
    <row r="17" spans="1:13" ht="15" customHeight="1" x14ac:dyDescent="0.3">
      <c r="A17" s="2">
        <f>MAX($A$14:$A15)+1</f>
        <v>4</v>
      </c>
      <c r="C17" s="48" t="s">
        <v>33</v>
      </c>
      <c r="D17" s="39" t="str">
        <f>"["&amp;$A17&amp;"]"</f>
        <v>[4]</v>
      </c>
      <c r="E17" s="46">
        <f>MIN(M14,M15)</f>
        <v>6.8201518390310856E-2</v>
      </c>
      <c r="H17" s="31"/>
    </row>
    <row r="18" spans="1:13" ht="6" customHeight="1" x14ac:dyDescent="0.25">
      <c r="C18" s="9"/>
      <c r="D18" s="34"/>
      <c r="E18" s="45"/>
      <c r="F18" s="9"/>
      <c r="G18" s="9"/>
      <c r="H18" s="38"/>
      <c r="I18" s="9"/>
      <c r="J18" s="9"/>
      <c r="K18" s="9"/>
      <c r="L18" s="9"/>
      <c r="M18" s="9"/>
    </row>
    <row r="19" spans="1:13" ht="6" customHeight="1" x14ac:dyDescent="0.25">
      <c r="C19" s="11"/>
      <c r="D19" s="39"/>
      <c r="E19" s="47"/>
      <c r="F19" s="11"/>
      <c r="G19" s="11"/>
      <c r="H19" s="31"/>
      <c r="I19" s="11"/>
      <c r="J19" s="11"/>
      <c r="K19" s="11"/>
      <c r="L19" s="11"/>
      <c r="M19" s="11"/>
    </row>
    <row r="20" spans="1:13" ht="15" customHeight="1" x14ac:dyDescent="0.25">
      <c r="C20" s="32" t="s">
        <v>34</v>
      </c>
      <c r="D20" s="8"/>
      <c r="E20" s="44"/>
      <c r="H20" s="31"/>
    </row>
    <row r="21" spans="1:13" ht="15" customHeight="1" x14ac:dyDescent="0.25">
      <c r="A21" s="2">
        <f>MAX($A$14:$A20)+1</f>
        <v>5</v>
      </c>
      <c r="B21" s="2" t="s">
        <v>70</v>
      </c>
      <c r="C21" t="s">
        <v>35</v>
      </c>
      <c r="D21" s="39" t="str">
        <f>"["&amp;$A21&amp;"]"</f>
        <v>[5]</v>
      </c>
      <c r="E21" s="67">
        <f>INDEX('Div. Ratios Summary'!$A:$Z,MATCH($B15,'Div. Ratios Summary'!$C:$C,0),MATCH($B$21,'Div. Ratios Summary'!$7:$7,0))</f>
        <v>0.46543073584833838</v>
      </c>
      <c r="F21" s="33">
        <f>INDEX('Margins and Elasticities'!$A:$Z,MATCH($B21,'Margins and Elasticities'!$B:$B,0),MATCH($F$2,'Margins and Elasticities'!$7:$7,0))</f>
        <v>0.52118192714121681</v>
      </c>
      <c r="G21" s="128">
        <f>INDEX(Subs!$1:$1048576,MATCH($B21,Subs!$B:$B,0),MATCH($E$2,Subs!$6:$6,0))*1000</f>
        <v>66056</v>
      </c>
      <c r="H21" s="31">
        <f>INDEX('Margins and Elasticities'!$A:$Z,MATCH($B21,'Margins and Elasticities'!$B:$B,0),MATCH($H$2,'Margins and Elasticities'!$7:$7,0))</f>
        <v>-1.9187158032996126</v>
      </c>
      <c r="I21" s="31">
        <f>(E22*$G$22*$H$22)/(G21*H21)</f>
        <v>0.73483410659186998</v>
      </c>
      <c r="J21" s="31">
        <f>1+(1/(F21*H21))</f>
        <v>0</v>
      </c>
      <c r="K21" s="33">
        <f>(($B$32*I21-J21)/(1-$B$32*I21))*F21</f>
        <v>1.1705266548719886</v>
      </c>
      <c r="L21" s="33">
        <f>(($B$32*I21-J21)/(1-I21))*F21</f>
        <v>1.3599640867414591</v>
      </c>
      <c r="M21" s="33">
        <f>MIN(K21,L22)</f>
        <v>0.22483029856182049</v>
      </c>
    </row>
    <row r="22" spans="1:13" ht="15" customHeight="1" x14ac:dyDescent="0.25">
      <c r="A22" s="2">
        <f>MAX($A$14:$A21)+1</f>
        <v>6</v>
      </c>
      <c r="B22" s="2" t="s">
        <v>3</v>
      </c>
      <c r="C22" s="11" t="s">
        <v>0</v>
      </c>
      <c r="D22" s="39" t="str">
        <f>"["&amp;$A22&amp;"]"</f>
        <v>[6]</v>
      </c>
      <c r="E22" s="67">
        <f>INDEX('Div. Ratios Summary'!$A:$Z,MATCH($B$21,'Div. Ratios Summary'!$C:$C,0),MATCH($C$22,'Div. Ratios Summary'!$7:$7,0))</f>
        <v>0.47134844065514925</v>
      </c>
      <c r="F22" s="33">
        <f>INDEX('Margins and Elasticities'!$A:$Z,MATCH($C22,'Margins and Elasticities'!$B:$B,0),MATCH($F$2,'Margins and Elasticities'!$7:$7,0))</f>
        <v>0.56102370718764427</v>
      </c>
      <c r="G22" s="128">
        <f>INDEX(Subs!$1:$1048576,MATCH($C22,Subs!$B:$B,0),MATCH($E$2,Subs!$6:$6,0))*1000</f>
        <v>110854</v>
      </c>
      <c r="H22" s="31">
        <f>INDEX('Margins and Elasticities'!$A:$Z,MATCH($C22,'Margins and Elasticities'!$B:$B,0),MATCH($H$2,'Margins and Elasticities'!$7:$7,0))</f>
        <v>-1.7824558698471049</v>
      </c>
      <c r="I22" s="43">
        <f>(E21*$G$21*$H$21)/(G22*H22)</f>
        <v>0.29854364353414203</v>
      </c>
      <c r="J22" s="31">
        <f>1+(1/(F22*H22))</f>
        <v>0</v>
      </c>
      <c r="K22" s="33">
        <f>(($B$32*I22-J22)/(1-$B$32*I22))*F22</f>
        <v>0.21937759004867188</v>
      </c>
      <c r="L22" s="33">
        <f>(($B$32*I22-J22)/(1-I22))*F22</f>
        <v>0.22483029856182049</v>
      </c>
      <c r="M22" s="33">
        <f>MIN(K22,L21)</f>
        <v>0.21937759004867188</v>
      </c>
    </row>
    <row r="23" spans="1:13" ht="6" customHeight="1" x14ac:dyDescent="0.25">
      <c r="C23" s="9"/>
      <c r="D23" s="34"/>
      <c r="E23" s="35"/>
      <c r="F23" s="36"/>
      <c r="G23" s="37"/>
      <c r="H23" s="38"/>
      <c r="I23" s="38"/>
      <c r="J23" s="38"/>
      <c r="K23" s="36"/>
      <c r="L23" s="36"/>
      <c r="M23" s="36"/>
    </row>
    <row r="24" spans="1:13" ht="6" customHeight="1" x14ac:dyDescent="0.25">
      <c r="C24" s="11"/>
      <c r="D24" s="39"/>
      <c r="E24" s="16"/>
      <c r="F24" s="33"/>
      <c r="G24" s="1"/>
      <c r="H24" s="31"/>
      <c r="I24" s="43"/>
      <c r="J24" s="31"/>
      <c r="K24" s="33"/>
      <c r="L24" s="33"/>
      <c r="M24" s="33"/>
    </row>
    <row r="25" spans="1:13" ht="15" customHeight="1" x14ac:dyDescent="0.25">
      <c r="A25" s="2">
        <f>MAX($A$14:$A24)+1</f>
        <v>7</v>
      </c>
      <c r="C25" s="48" t="s">
        <v>36</v>
      </c>
      <c r="D25" s="39" t="str">
        <f>"["&amp;$A25&amp;"]"</f>
        <v>[7]</v>
      </c>
      <c r="E25" s="46">
        <f>MIN(M21,M22)</f>
        <v>0.21937759004867188</v>
      </c>
      <c r="F25" s="33"/>
      <c r="G25" s="1"/>
      <c r="H25" s="31"/>
      <c r="I25" s="43"/>
      <c r="J25" s="31"/>
      <c r="K25" s="33"/>
      <c r="L25" s="33"/>
      <c r="M25" s="33"/>
    </row>
    <row r="26" spans="1:13" ht="6" customHeight="1" x14ac:dyDescent="0.25">
      <c r="C26" s="49"/>
      <c r="D26" s="34"/>
      <c r="E26" s="50"/>
      <c r="F26" s="36"/>
      <c r="G26" s="37"/>
      <c r="H26" s="38"/>
      <c r="I26" s="38"/>
      <c r="J26" s="38"/>
      <c r="K26" s="36"/>
      <c r="L26" s="36"/>
      <c r="M26" s="36"/>
    </row>
    <row r="27" spans="1:13" ht="6" customHeight="1" thickBot="1" x14ac:dyDescent="0.3">
      <c r="C27" s="48"/>
      <c r="D27" s="39"/>
      <c r="E27" s="46"/>
      <c r="F27" s="33"/>
      <c r="G27" s="1"/>
      <c r="H27" s="31"/>
      <c r="I27" s="43"/>
      <c r="J27" s="31"/>
      <c r="K27" s="33"/>
      <c r="L27" s="33"/>
      <c r="M27" s="33"/>
    </row>
    <row r="28" spans="1:13" ht="15" customHeight="1" thickBot="1" x14ac:dyDescent="0.3">
      <c r="A28" s="2">
        <f>MAX($A$14:$A27)+1</f>
        <v>8</v>
      </c>
      <c r="C28" s="48" t="s">
        <v>37</v>
      </c>
      <c r="D28" s="39" t="str">
        <f>"["&amp;$A28&amp;"]"</f>
        <v>[8]</v>
      </c>
      <c r="E28" s="51">
        <f>E25-E17</f>
        <v>0.15117607165836103</v>
      </c>
      <c r="F28" s="33"/>
      <c r="G28" s="1"/>
      <c r="H28" s="31"/>
      <c r="I28" s="43"/>
      <c r="J28" s="31"/>
      <c r="K28" s="33"/>
      <c r="L28" s="33"/>
      <c r="M28" s="33"/>
    </row>
    <row r="29" spans="1:13" ht="6" customHeight="1" thickBot="1" x14ac:dyDescent="0.3">
      <c r="C29" s="6"/>
      <c r="D29" s="12"/>
      <c r="E29" s="6"/>
      <c r="F29" s="6"/>
      <c r="G29" s="13"/>
      <c r="H29" s="13"/>
      <c r="I29" s="13"/>
      <c r="J29" s="13"/>
      <c r="K29" s="13"/>
      <c r="L29" s="13"/>
      <c r="M29" s="6"/>
    </row>
    <row r="30" spans="1:13" ht="6" customHeight="1" thickTop="1" x14ac:dyDescent="0.25"/>
    <row r="31" spans="1:13" ht="30" customHeight="1" x14ac:dyDescent="0.25">
      <c r="A31" s="17"/>
      <c r="B31" s="25">
        <v>100</v>
      </c>
      <c r="C31" s="232" t="s">
        <v>20</v>
      </c>
      <c r="D31" s="232"/>
      <c r="E31" s="232"/>
      <c r="F31" s="232"/>
      <c r="G31" s="232"/>
      <c r="H31" s="232"/>
      <c r="I31" s="232"/>
      <c r="J31" s="232"/>
      <c r="K31" s="232"/>
      <c r="L31" s="232"/>
      <c r="M31" s="232"/>
    </row>
    <row r="32" spans="1:13" ht="15" x14ac:dyDescent="0.25">
      <c r="A32" s="25" t="s">
        <v>24</v>
      </c>
      <c r="B32" s="52">
        <f>1-E7</f>
        <v>0.94159999999999999</v>
      </c>
      <c r="C32" s="14" t="s">
        <v>7</v>
      </c>
      <c r="D32" s="14"/>
      <c r="E32" s="14"/>
      <c r="F32" s="14"/>
      <c r="G32" s="14"/>
      <c r="H32" s="14"/>
      <c r="I32" s="14"/>
      <c r="J32" s="14"/>
      <c r="K32" s="14"/>
      <c r="L32" s="14"/>
    </row>
    <row r="33" spans="1:13" ht="15" x14ac:dyDescent="0.25">
      <c r="A33" s="25"/>
      <c r="B33" s="52"/>
      <c r="C33" s="14" t="s">
        <v>111</v>
      </c>
      <c r="D33" s="14"/>
      <c r="E33" s="14"/>
      <c r="F33" s="14"/>
      <c r="G33" s="14"/>
      <c r="H33" s="14"/>
      <c r="I33" s="14"/>
      <c r="J33" s="14"/>
      <c r="K33" s="14"/>
      <c r="L33" s="14"/>
    </row>
    <row r="34" spans="1:13" ht="45" customHeight="1" x14ac:dyDescent="0.25">
      <c r="A34" s="25"/>
      <c r="B34" s="26"/>
      <c r="C34" s="232" t="s">
        <v>112</v>
      </c>
      <c r="D34" s="232"/>
      <c r="E34" s="232"/>
      <c r="F34" s="232"/>
      <c r="G34" s="232"/>
      <c r="H34" s="232"/>
      <c r="I34" s="232"/>
      <c r="J34" s="232"/>
      <c r="K34" s="232"/>
      <c r="L34" s="232"/>
      <c r="M34" s="232"/>
    </row>
    <row r="35" spans="1:13" x14ac:dyDescent="0.35">
      <c r="A35" s="25"/>
      <c r="B35" s="25"/>
      <c r="C35" s="14" t="s">
        <v>113</v>
      </c>
      <c r="D35" s="14"/>
      <c r="E35" s="14"/>
      <c r="F35" s="14"/>
      <c r="G35" s="24"/>
      <c r="H35" s="24"/>
      <c r="I35" s="28"/>
      <c r="J35" s="28"/>
      <c r="K35" s="24"/>
      <c r="L35" s="28"/>
    </row>
    <row r="36" spans="1:13" x14ac:dyDescent="0.35">
      <c r="A36" s="25"/>
      <c r="B36" s="25"/>
      <c r="C36" s="14" t="s">
        <v>114</v>
      </c>
      <c r="D36" s="14"/>
      <c r="E36" s="14"/>
      <c r="F36" s="14"/>
      <c r="G36" s="28"/>
      <c r="H36" s="28"/>
      <c r="I36" s="28"/>
      <c r="J36" s="28"/>
      <c r="K36" s="28"/>
      <c r="L36" s="28"/>
    </row>
    <row r="37" spans="1:13" x14ac:dyDescent="0.35">
      <c r="A37" s="25"/>
      <c r="B37" s="25"/>
      <c r="C37" t="s">
        <v>118</v>
      </c>
    </row>
    <row r="38" spans="1:13" x14ac:dyDescent="0.35">
      <c r="A38" s="25"/>
      <c r="B38" s="25"/>
      <c r="C38" t="s">
        <v>115</v>
      </c>
    </row>
    <row r="39" spans="1:13" x14ac:dyDescent="0.35">
      <c r="C39" t="s">
        <v>116</v>
      </c>
    </row>
    <row r="40" spans="1:13" x14ac:dyDescent="0.35">
      <c r="C40" t="s">
        <v>117</v>
      </c>
    </row>
    <row r="41" spans="1:13" x14ac:dyDescent="0.35">
      <c r="C41" t="s">
        <v>119</v>
      </c>
    </row>
  </sheetData>
  <mergeCells count="2">
    <mergeCell ref="C31:M31"/>
    <mergeCell ref="C34:M34"/>
  </mergeCells>
  <printOptions horizontalCentered="1"/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="110" zoomScaleNormal="110" workbookViewId="0"/>
  </sheetViews>
  <sheetFormatPr defaultRowHeight="14.5" outlineLevelRow="1" outlineLevelCol="2" x14ac:dyDescent="0.35"/>
  <cols>
    <col min="1" max="1" width="14.7265625" style="2" customWidth="1" outlineLevel="1"/>
    <col min="2" max="2" width="17.54296875" style="2" customWidth="1" outlineLevel="2"/>
    <col min="3" max="3" width="16.26953125" customWidth="1"/>
    <col min="4" max="4" width="4.1796875" customWidth="1"/>
    <col min="5" max="5" width="11.1796875" customWidth="1"/>
    <col min="6" max="6" width="9.81640625" customWidth="1"/>
    <col min="7" max="7" width="11.81640625" customWidth="1"/>
    <col min="8" max="8" width="11.1796875" customWidth="1"/>
    <col min="9" max="10" width="13.1796875" customWidth="1"/>
    <col min="11" max="11" width="11.453125" bestFit="1" customWidth="1"/>
    <col min="12" max="12" width="11.81640625" customWidth="1"/>
    <col min="13" max="13" width="11.26953125" bestFit="1" customWidth="1"/>
  </cols>
  <sheetData>
    <row r="1" spans="1:15" s="2" customFormat="1" outlineLevel="1" x14ac:dyDescent="0.3">
      <c r="E1" s="2">
        <v>65</v>
      </c>
      <c r="F1" s="2">
        <f>MAX($E$1:E$1)+1</f>
        <v>66</v>
      </c>
      <c r="G1" s="2">
        <f>MAX($E$1:F$1)+1</f>
        <v>67</v>
      </c>
      <c r="H1" s="2">
        <f>MAX($E$1:G$1)+1</f>
        <v>68</v>
      </c>
      <c r="I1" s="2">
        <f>MAX($E$1:H$1)+1</f>
        <v>69</v>
      </c>
      <c r="J1" s="2">
        <f>MAX($E$1:I$1)+1</f>
        <v>70</v>
      </c>
      <c r="K1" s="2">
        <f>MAX($E$1:J$1)+1</f>
        <v>71</v>
      </c>
      <c r="L1" s="2">
        <f>MAX($E$1:K$1)+1</f>
        <v>72</v>
      </c>
      <c r="M1" s="2">
        <f>MAX($E$1:L$1)+1</f>
        <v>73</v>
      </c>
    </row>
    <row r="2" spans="1:15" s="2" customFormat="1" outlineLevel="1" x14ac:dyDescent="0.3">
      <c r="E2" s="2">
        <v>2017</v>
      </c>
      <c r="F2" s="2" t="s">
        <v>68</v>
      </c>
      <c r="H2" s="2" t="s">
        <v>69</v>
      </c>
    </row>
    <row r="3" spans="1:15" ht="18" x14ac:dyDescent="0.35">
      <c r="C3" s="4" t="s">
        <v>23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ht="18" x14ac:dyDescent="0.35">
      <c r="C4" s="4" t="s">
        <v>30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ht="6" customHeight="1" thickBot="1" x14ac:dyDescent="0.35"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 ht="6" customHeight="1" thickTop="1" x14ac:dyDescent="0.3"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5" ht="15" customHeight="1" x14ac:dyDescent="0.3">
      <c r="A7" s="2">
        <v>1</v>
      </c>
      <c r="C7" s="32" t="s">
        <v>38</v>
      </c>
      <c r="D7" s="8" t="str">
        <f>"["&amp;$A7&amp;"]"</f>
        <v>[1]</v>
      </c>
      <c r="E7" s="77">
        <v>5.8400000000000001E-2</v>
      </c>
      <c r="F7" s="11"/>
      <c r="G7" s="11"/>
      <c r="H7" s="11"/>
      <c r="I7" s="11"/>
      <c r="J7" s="11"/>
      <c r="K7" s="11"/>
      <c r="L7" s="11"/>
    </row>
    <row r="8" spans="1:15" ht="6" customHeight="1" x14ac:dyDescent="0.3"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5" ht="58" x14ac:dyDescent="0.35">
      <c r="E9" s="7" t="s">
        <v>10</v>
      </c>
      <c r="F9" s="7" t="s">
        <v>13</v>
      </c>
      <c r="G9" s="7" t="s">
        <v>26</v>
      </c>
      <c r="H9" s="7" t="s">
        <v>25</v>
      </c>
      <c r="I9" s="7" t="s">
        <v>40</v>
      </c>
      <c r="J9" s="53" t="s">
        <v>41</v>
      </c>
      <c r="K9" s="7" t="s">
        <v>31</v>
      </c>
      <c r="L9" s="7" t="s">
        <v>32</v>
      </c>
      <c r="M9" s="7" t="s">
        <v>39</v>
      </c>
      <c r="O9" s="27"/>
    </row>
    <row r="10" spans="1:15" ht="15.75" customHeight="1" x14ac:dyDescent="0.3">
      <c r="E10" s="7" t="str">
        <f t="shared" ref="E10:M10" si="0">"["&amp;CHAR(E1)&amp;"]"</f>
        <v>[A]</v>
      </c>
      <c r="F10" s="7" t="str">
        <f t="shared" si="0"/>
        <v>[B]</v>
      </c>
      <c r="G10" s="7" t="str">
        <f t="shared" si="0"/>
        <v>[C]</v>
      </c>
      <c r="H10" s="7" t="str">
        <f t="shared" si="0"/>
        <v>[D]</v>
      </c>
      <c r="I10" s="7" t="str">
        <f t="shared" si="0"/>
        <v>[E]</v>
      </c>
      <c r="J10" s="7" t="str">
        <f t="shared" si="0"/>
        <v>[F]</v>
      </c>
      <c r="K10" s="7" t="str">
        <f t="shared" si="0"/>
        <v>[G]</v>
      </c>
      <c r="L10" s="7" t="str">
        <f t="shared" si="0"/>
        <v>[H]</v>
      </c>
      <c r="M10" s="7" t="str">
        <f t="shared" si="0"/>
        <v>[I]</v>
      </c>
    </row>
    <row r="11" spans="1:15" ht="6" customHeight="1" x14ac:dyDescent="0.3">
      <c r="C11" s="9"/>
      <c r="D11" s="9"/>
      <c r="E11" s="10"/>
      <c r="F11" s="9"/>
      <c r="G11" s="9"/>
      <c r="H11" s="9"/>
      <c r="I11" s="9"/>
      <c r="J11" s="9"/>
      <c r="K11" s="9"/>
      <c r="L11" s="9"/>
      <c r="M11" s="9"/>
    </row>
    <row r="12" spans="1:15" ht="6" customHeight="1" x14ac:dyDescent="0.3">
      <c r="E12" s="5"/>
    </row>
    <row r="13" spans="1:15" ht="15" customHeight="1" x14ac:dyDescent="0.3">
      <c r="C13" s="32" t="s">
        <v>28</v>
      </c>
      <c r="E13" s="5"/>
    </row>
    <row r="14" spans="1:15" ht="15" customHeight="1" x14ac:dyDescent="0.3">
      <c r="A14" s="2">
        <f>MAX($A$7:$A13)+1</f>
        <v>2</v>
      </c>
      <c r="B14" s="2" t="s">
        <v>3</v>
      </c>
      <c r="C14" t="s">
        <v>3</v>
      </c>
      <c r="D14" s="8" t="str">
        <f>"["&amp;$A14&amp;"]"</f>
        <v>[2]</v>
      </c>
      <c r="E14" s="67">
        <f>INDEX('Div. Ratios Summary'!$A:$Z,MATCH($B15,'Div. Ratios Summary'!$C:$C,0),MATCH($B$14,'Div. Ratios Summary'!$7:$7,0))</f>
        <v>0.35012600229095076</v>
      </c>
      <c r="F14" s="33">
        <f>INDEX('Margins and Elasticities'!$A:$Z,MATCH($B14,'Margins and Elasticities'!$B:$B,0),MATCH($F$2,'Margins and Elasticities'!$7:$7,0))</f>
        <v>0.49098737499819789</v>
      </c>
      <c r="G14" s="1">
        <f>INDEX(Subs!$1:$1048576,MATCH($C14,Subs!$B:$B,0),MATCH($E$2,Subs!$6:$6,0))*1000</f>
        <v>31942</v>
      </c>
      <c r="H14" s="31">
        <f>INDEX('Margins and Elasticities'!$A:$Z,MATCH($B14,'Margins and Elasticities'!$B:$B,0),MATCH($H$2,'Margins and Elasticities'!$7:$7,0))</f>
        <v>-2.0367122474456099</v>
      </c>
      <c r="I14" s="31">
        <f>(E15*$G$15*$H$15)/(G14*H14)</f>
        <v>0.64556289342662665</v>
      </c>
      <c r="J14" s="31">
        <f>1+(1/(F14*H14))</f>
        <v>0</v>
      </c>
      <c r="K14" s="33">
        <f>(($B$32*I14-J14)/(1-$B$32*I14))*F14</f>
        <v>0.76109072149802426</v>
      </c>
      <c r="L14" s="33">
        <f>(($B$32*I14-J14)/(1-I14))*F14</f>
        <v>0.84204664874814339</v>
      </c>
      <c r="M14" s="33">
        <f>MIN(K14,L15)</f>
        <v>6.8831426369126245E-2</v>
      </c>
    </row>
    <row r="15" spans="1:15" ht="15" customHeight="1" x14ac:dyDescent="0.35">
      <c r="A15" s="2">
        <f>MAX($A$7:$A14)+1</f>
        <v>3</v>
      </c>
      <c r="B15" s="56" t="s">
        <v>0</v>
      </c>
      <c r="C15" s="9" t="s">
        <v>0</v>
      </c>
      <c r="D15" s="34" t="str">
        <f>"["&amp;$A15&amp;"]"</f>
        <v>[3]</v>
      </c>
      <c r="E15" s="61">
        <f>INDEX('Div. Ratios Summary'!$A:$Z,MATCH($B14,'Div. Ratios Summary'!$C:$C,0),MATCH($B$15,'Div. Ratios Summary'!$7:$7,0))</f>
        <v>0.21254954752823277</v>
      </c>
      <c r="F15" s="36">
        <f>INDEX('Margins and Elasticities'!$A:$Z,MATCH($B15,'Margins and Elasticities'!$B:$B,0),MATCH($F$2,'Margins and Elasticities'!$7:$7,0))</f>
        <v>0.56102370718764427</v>
      </c>
      <c r="G15" s="37">
        <f>INDEX(Subs!$1:$1048576,MATCH($C15,Subs!$B:$B,0),MATCH($E$2,Subs!$6:$6,0))*1000</f>
        <v>110854</v>
      </c>
      <c r="H15" s="38">
        <f>INDEX('Margins and Elasticities'!$A:$Z,MATCH($B15,'Margins and Elasticities'!$B:$B,0),MATCH($H$2,'Margins and Elasticities'!$7:$7,0))</f>
        <v>-1.7824558698471049</v>
      </c>
      <c r="I15" s="38">
        <f>(E14*$G$14*$H$14)/(G15*H15)</f>
        <v>0.11527788248453423</v>
      </c>
      <c r="J15" s="38">
        <f>1+(1/(F15*H15))</f>
        <v>0</v>
      </c>
      <c r="K15" s="36">
        <f>(($B$32*I15-J15)/(1-$B$32*I15))*F15</f>
        <v>6.8311614130573683E-2</v>
      </c>
      <c r="L15" s="36">
        <f>(($B$32*I15-J15)/(1-I15))*F15</f>
        <v>6.8831426369126245E-2</v>
      </c>
      <c r="M15" s="36">
        <f>MIN(K15,L14)</f>
        <v>6.8311614130573683E-2</v>
      </c>
    </row>
    <row r="16" spans="1:15" ht="6" customHeight="1" x14ac:dyDescent="0.35">
      <c r="C16" s="11"/>
      <c r="D16" s="39"/>
      <c r="E16" s="40"/>
      <c r="F16" s="41"/>
      <c r="G16" s="42"/>
      <c r="H16" s="43"/>
      <c r="I16" s="43"/>
      <c r="J16" s="43"/>
      <c r="K16" s="41"/>
      <c r="L16" s="41"/>
      <c r="M16" s="41"/>
    </row>
    <row r="17" spans="1:13" ht="15" customHeight="1" x14ac:dyDescent="0.35">
      <c r="A17" s="2">
        <f>MAX($A$14:$A15)+1</f>
        <v>4</v>
      </c>
      <c r="C17" s="48" t="s">
        <v>33</v>
      </c>
      <c r="D17" s="39" t="str">
        <f>"["&amp;$A17&amp;"]"</f>
        <v>[4]</v>
      </c>
      <c r="E17" s="46">
        <f>MIN(M14,M15)</f>
        <v>6.8311614130573683E-2</v>
      </c>
    </row>
    <row r="18" spans="1:13" ht="6" customHeight="1" x14ac:dyDescent="0.35">
      <c r="C18" s="9"/>
      <c r="D18" s="34"/>
      <c r="E18" s="45"/>
      <c r="F18" s="9"/>
      <c r="G18" s="9"/>
      <c r="H18" s="9"/>
      <c r="I18" s="9"/>
      <c r="J18" s="9"/>
      <c r="K18" s="9"/>
      <c r="L18" s="9"/>
      <c r="M18" s="9"/>
    </row>
    <row r="19" spans="1:13" ht="6" customHeight="1" x14ac:dyDescent="0.35">
      <c r="C19" s="11"/>
      <c r="D19" s="39"/>
      <c r="E19" s="47"/>
      <c r="F19" s="11"/>
      <c r="G19" s="11"/>
      <c r="H19" s="11"/>
      <c r="I19" s="11"/>
      <c r="J19" s="11"/>
      <c r="K19" s="11"/>
      <c r="L19" s="11"/>
      <c r="M19" s="11"/>
    </row>
    <row r="20" spans="1:13" ht="15" customHeight="1" x14ac:dyDescent="0.35">
      <c r="C20" s="32" t="s">
        <v>34</v>
      </c>
      <c r="D20" s="8"/>
      <c r="E20" s="44"/>
    </row>
    <row r="21" spans="1:13" ht="15" customHeight="1" x14ac:dyDescent="0.35">
      <c r="A21" s="2">
        <f>MAX($A$14:$A20)+1</f>
        <v>5</v>
      </c>
      <c r="B21" s="2" t="s">
        <v>70</v>
      </c>
      <c r="C21" t="s">
        <v>42</v>
      </c>
      <c r="D21" s="39" t="str">
        <f>"["&amp;$A21&amp;"]"</f>
        <v>[5]</v>
      </c>
      <c r="E21" s="67">
        <f>INDEX('Div. Ratios Summary'!$A:$Z,MATCH($B15,'Div. Ratios Summary'!$C:$C,0),MATCH($B$21,'Div. Ratios Summary'!$7:$7,0))</f>
        <v>0.46543073584833838</v>
      </c>
      <c r="F21" s="33">
        <f>INDEX('Margins and Elasticities'!$A:$Z,MATCH($B21,'Margins and Elasticities'!$B:$B,0),MATCH($F$2,'Margins and Elasticities'!$7:$7,0))</f>
        <v>0.52118192714121681</v>
      </c>
      <c r="G21" s="128">
        <f>INDEX(Subs!$1:$1048576,MATCH($B21,Subs!$B:$B,0),MATCH($E$2,Subs!$6:$6,0))*1000</f>
        <v>66056</v>
      </c>
      <c r="H21" s="31">
        <f>INDEX('Margins and Elasticities'!$A:$Z,MATCH($B21,'Margins and Elasticities'!$B:$B,0),MATCH($H$2,'Margins and Elasticities'!$7:$7,0))</f>
        <v>-1.9187158032996126</v>
      </c>
      <c r="I21" s="31">
        <f>(E22*$G$22*$H$22)/(G21*H21)</f>
        <v>0.73483410659186998</v>
      </c>
      <c r="J21" s="31">
        <f>1+(1/(F21*H21))</f>
        <v>0</v>
      </c>
      <c r="K21" s="33">
        <f>(($B$32*I21-J21)/(1-$B$32*I21))*F21</f>
        <v>1.1705266548719886</v>
      </c>
      <c r="L21" s="33">
        <f>(($B$32*I21-J21)/(1-I21))*F21</f>
        <v>1.3599640867414591</v>
      </c>
      <c r="M21" s="33">
        <f>MIN(K21,L22)</f>
        <v>0.22483029856182049</v>
      </c>
    </row>
    <row r="22" spans="1:13" ht="15" customHeight="1" x14ac:dyDescent="0.35">
      <c r="A22" s="2">
        <f>MAX($A$14:$A21)+1</f>
        <v>6</v>
      </c>
      <c r="B22" s="2" t="s">
        <v>2</v>
      </c>
      <c r="C22" s="11" t="s">
        <v>0</v>
      </c>
      <c r="D22" s="39" t="str">
        <f>"["&amp;$A22&amp;"]"</f>
        <v>[6]</v>
      </c>
      <c r="E22" s="67">
        <f>INDEX('Div. Ratios Summary'!$A:$Z,MATCH($B$21,'Div. Ratios Summary'!$C:$C,0),MATCH($C$22,'Div. Ratios Summary'!$7:$7,0))</f>
        <v>0.47134844065514925</v>
      </c>
      <c r="F22" s="33">
        <f>INDEX('Margins and Elasticities'!$A:$Z,MATCH($C22,'Margins and Elasticities'!$B:$B,0),MATCH($F$2,'Margins and Elasticities'!$7:$7,0))</f>
        <v>0.56102370718764427</v>
      </c>
      <c r="G22" s="128">
        <f>INDEX(Subs!$1:$1048576,MATCH($C22,Subs!$B:$B,0),MATCH($E$2,Subs!$6:$6,0))*1000</f>
        <v>110854</v>
      </c>
      <c r="H22" s="31">
        <f>INDEX('Margins and Elasticities'!$A:$Z,MATCH($C22,'Margins and Elasticities'!$B:$B,0),MATCH($H$2,'Margins and Elasticities'!$7:$7,0))</f>
        <v>-1.7824558698471049</v>
      </c>
      <c r="I22" s="43">
        <f>(E21*$G$21*$H$21)/(G22*H22)</f>
        <v>0.29854364353414203</v>
      </c>
      <c r="J22" s="31">
        <f>1+(1/(F22*H22))</f>
        <v>0</v>
      </c>
      <c r="K22" s="33">
        <f>(($B$32*I22-J22)/(1-$B$32*I22))*F22</f>
        <v>0.21937759004867188</v>
      </c>
      <c r="L22" s="33">
        <f>(($B$32*I22-J22)/(1-I22))*F22</f>
        <v>0.22483029856182049</v>
      </c>
      <c r="M22" s="33">
        <f>MIN(K22,L21)</f>
        <v>0.21937759004867188</v>
      </c>
    </row>
    <row r="23" spans="1:13" ht="6" customHeight="1" x14ac:dyDescent="0.35">
      <c r="C23" s="9"/>
      <c r="D23" s="34"/>
      <c r="E23" s="35"/>
      <c r="F23" s="36"/>
      <c r="G23" s="37"/>
      <c r="H23" s="38"/>
      <c r="I23" s="38"/>
      <c r="J23" s="38"/>
      <c r="K23" s="36"/>
      <c r="L23" s="36"/>
      <c r="M23" s="36"/>
    </row>
    <row r="24" spans="1:13" ht="6" customHeight="1" x14ac:dyDescent="0.35">
      <c r="C24" s="11"/>
      <c r="D24" s="39"/>
      <c r="E24" s="16"/>
      <c r="F24" s="33"/>
      <c r="G24" s="1"/>
      <c r="H24" s="31"/>
      <c r="I24" s="43"/>
      <c r="J24" s="31"/>
      <c r="K24" s="33"/>
      <c r="L24" s="33"/>
      <c r="M24" s="33"/>
    </row>
    <row r="25" spans="1:13" ht="15" customHeight="1" x14ac:dyDescent="0.35">
      <c r="A25" s="2">
        <f>MAX($A$14:$A24)+1</f>
        <v>7</v>
      </c>
      <c r="C25" s="48" t="s">
        <v>36</v>
      </c>
      <c r="D25" s="39" t="str">
        <f>"["&amp;$A25&amp;"]"</f>
        <v>[7]</v>
      </c>
      <c r="E25" s="46">
        <f>MIN(M21,M22)</f>
        <v>0.21937759004867188</v>
      </c>
      <c r="F25" s="33"/>
      <c r="G25" s="1"/>
      <c r="H25" s="31"/>
      <c r="I25" s="43"/>
      <c r="J25" s="31"/>
      <c r="K25" s="33"/>
      <c r="L25" s="33"/>
      <c r="M25" s="33"/>
    </row>
    <row r="26" spans="1:13" ht="6" customHeight="1" x14ac:dyDescent="0.35">
      <c r="C26" s="49"/>
      <c r="D26" s="34"/>
      <c r="E26" s="50"/>
      <c r="F26" s="36"/>
      <c r="G26" s="37"/>
      <c r="H26" s="38"/>
      <c r="I26" s="38"/>
      <c r="J26" s="38"/>
      <c r="K26" s="36"/>
      <c r="L26" s="36"/>
      <c r="M26" s="36"/>
    </row>
    <row r="27" spans="1:13" ht="6" customHeight="1" thickBot="1" x14ac:dyDescent="0.4">
      <c r="C27" s="48"/>
      <c r="D27" s="39"/>
      <c r="E27" s="46"/>
      <c r="F27" s="33"/>
      <c r="G27" s="1"/>
      <c r="H27" s="31"/>
      <c r="I27" s="43"/>
      <c r="J27" s="31"/>
      <c r="K27" s="33"/>
      <c r="L27" s="33"/>
      <c r="M27" s="33"/>
    </row>
    <row r="28" spans="1:13" ht="15" customHeight="1" thickBot="1" x14ac:dyDescent="0.4">
      <c r="A28" s="2">
        <f>MAX($A$14:$A27)+1</f>
        <v>8</v>
      </c>
      <c r="C28" s="48" t="s">
        <v>37</v>
      </c>
      <c r="D28" s="39" t="str">
        <f>"["&amp;$A28&amp;"]"</f>
        <v>[8]</v>
      </c>
      <c r="E28" s="51">
        <f>E25-E17</f>
        <v>0.1510659759180982</v>
      </c>
      <c r="F28" s="33"/>
      <c r="G28" s="1"/>
      <c r="H28" s="31"/>
      <c r="I28" s="43"/>
      <c r="J28" s="31"/>
      <c r="K28" s="33"/>
      <c r="L28" s="33"/>
      <c r="M28" s="33"/>
    </row>
    <row r="29" spans="1:13" ht="6" customHeight="1" thickBot="1" x14ac:dyDescent="0.4">
      <c r="C29" s="6"/>
      <c r="D29" s="12"/>
      <c r="E29" s="6"/>
      <c r="F29" s="6"/>
      <c r="G29" s="13"/>
      <c r="H29" s="13"/>
      <c r="I29" s="13"/>
      <c r="J29" s="13"/>
      <c r="K29" s="13"/>
      <c r="L29" s="13"/>
      <c r="M29" s="6"/>
    </row>
    <row r="30" spans="1:13" ht="6" customHeight="1" thickTop="1" x14ac:dyDescent="0.35"/>
    <row r="31" spans="1:13" ht="30" customHeight="1" x14ac:dyDescent="0.35">
      <c r="A31" s="17"/>
      <c r="B31" s="25">
        <v>100</v>
      </c>
      <c r="C31" s="232" t="s">
        <v>20</v>
      </c>
      <c r="D31" s="232"/>
      <c r="E31" s="232"/>
      <c r="F31" s="232"/>
      <c r="G31" s="232"/>
      <c r="H31" s="232"/>
      <c r="I31" s="232"/>
      <c r="J31" s="232"/>
      <c r="K31" s="232"/>
      <c r="L31" s="232"/>
      <c r="M31" s="232"/>
    </row>
    <row r="32" spans="1:13" x14ac:dyDescent="0.35">
      <c r="A32" s="25" t="s">
        <v>24</v>
      </c>
      <c r="B32" s="52">
        <f>1-E7</f>
        <v>0.94159999999999999</v>
      </c>
      <c r="C32" s="14" t="s">
        <v>7</v>
      </c>
      <c r="D32" s="14"/>
      <c r="E32" s="14"/>
      <c r="F32" s="14"/>
      <c r="G32" s="14"/>
      <c r="H32" s="14"/>
      <c r="I32" s="14"/>
      <c r="J32" s="14"/>
      <c r="K32" s="14"/>
      <c r="L32" s="14"/>
    </row>
    <row r="33" spans="1:13" x14ac:dyDescent="0.35">
      <c r="A33" s="25"/>
      <c r="B33" s="52"/>
      <c r="C33" s="14" t="str">
        <f>D7&amp;": Assumed discount rate for wireless carriers."</f>
        <v>[1]: Assumed discount rate for wireless carriers.</v>
      </c>
      <c r="D33" s="14"/>
      <c r="E33" s="14"/>
      <c r="F33" s="14"/>
      <c r="G33" s="14"/>
      <c r="H33" s="14"/>
      <c r="I33" s="14"/>
      <c r="J33" s="14"/>
      <c r="K33" s="14"/>
      <c r="L33" s="14"/>
    </row>
    <row r="34" spans="1:13" ht="30" customHeight="1" x14ac:dyDescent="0.35">
      <c r="A34" s="25"/>
      <c r="B34" s="26"/>
      <c r="C34" s="232" t="str">
        <f>E10&amp;": Diversion ratios are constructed based on annual gross additions.  "&amp;"Ratio for Sprint post-merger is the sum of the diversion ratios from Verizon to both T-Mobile and Sprint.  Diversion ratio for Verizon post-merger is the average of the diversion ratios to Verizon from Sprint and T-Mobile."</f>
        <v>[A]: Diversion ratios are constructed based on annual gross additions.  Ratio for Sprint post-merger is the sum of the diversion ratios from Verizon to both T-Mobile and Sprint.  Diversion ratio for Verizon post-merger is the average of the diversion ratios to Verizon from Sprint and T-Mobile.</v>
      </c>
      <c r="D34" s="232"/>
      <c r="E34" s="232"/>
      <c r="F34" s="232"/>
      <c r="G34" s="232"/>
      <c r="H34" s="232"/>
      <c r="I34" s="232"/>
      <c r="J34" s="232"/>
      <c r="K34" s="232"/>
      <c r="L34" s="232"/>
      <c r="M34" s="232"/>
    </row>
    <row r="35" spans="1:13" x14ac:dyDescent="0.35">
      <c r="A35" s="25"/>
      <c r="B35" s="25"/>
      <c r="C35" s="14" t="str">
        <f>F10&amp;"-"&amp;G10&amp;": From FCC Mobile Wireless, 20th Report."</f>
        <v>[B]-[C]: From FCC Mobile Wireless, 20th Report.</v>
      </c>
      <c r="D35" s="14"/>
      <c r="E35" s="14"/>
      <c r="F35" s="14"/>
      <c r="G35" s="30"/>
      <c r="H35" s="30"/>
      <c r="I35" s="30"/>
      <c r="J35" s="30"/>
      <c r="K35" s="30"/>
      <c r="L35" s="30"/>
    </row>
    <row r="36" spans="1:13" x14ac:dyDescent="0.35">
      <c r="A36" s="25"/>
      <c r="B36" s="25"/>
      <c r="C36" s="14" t="str">
        <f>H10&amp;": "&amp;"Calculated using EBITDA margins reported in the 20th FCC Mobile Wireless Report and the Learner Index."</f>
        <v>[D]: Calculated using EBITDA margins reported in the 20th FCC Mobile Wireless Report and the Learner Index.</v>
      </c>
      <c r="D36" s="14"/>
      <c r="E36" s="14"/>
      <c r="F36" s="14"/>
      <c r="G36" s="30"/>
      <c r="H36" s="30"/>
      <c r="I36" s="30"/>
      <c r="J36" s="30"/>
      <c r="K36" s="30"/>
      <c r="L36" s="30"/>
    </row>
    <row r="37" spans="1:13" x14ac:dyDescent="0.35">
      <c r="A37" s="25"/>
      <c r="B37" s="25"/>
      <c r="C37" s="127" t="s">
        <v>118</v>
      </c>
    </row>
    <row r="38" spans="1:13" x14ac:dyDescent="0.35">
      <c r="A38" s="25"/>
      <c r="B38" s="25"/>
      <c r="C38" s="127" t="s">
        <v>115</v>
      </c>
    </row>
    <row r="39" spans="1:13" x14ac:dyDescent="0.35">
      <c r="C39" s="127" t="s">
        <v>116</v>
      </c>
    </row>
    <row r="40" spans="1:13" x14ac:dyDescent="0.35">
      <c r="C40" s="127" t="s">
        <v>117</v>
      </c>
    </row>
    <row r="41" spans="1:13" x14ac:dyDescent="0.35">
      <c r="C41" s="127" t="s">
        <v>119</v>
      </c>
    </row>
  </sheetData>
  <mergeCells count="2">
    <mergeCell ref="C31:M31"/>
    <mergeCell ref="C34:M34"/>
  </mergeCells>
  <printOptions horizontalCentered="1"/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="110" zoomScaleNormal="110" workbookViewId="0"/>
  </sheetViews>
  <sheetFormatPr defaultRowHeight="14.5" outlineLevelRow="1" outlineLevelCol="2" x14ac:dyDescent="0.35"/>
  <cols>
    <col min="1" max="1" width="14.7265625" style="2" customWidth="1" outlineLevel="1"/>
    <col min="2" max="2" width="9.1796875" style="2" customWidth="1" outlineLevel="2"/>
    <col min="3" max="3" width="16.26953125" customWidth="1"/>
    <col min="4" max="4" width="4.1796875" customWidth="1"/>
    <col min="5" max="5" width="11.1796875" customWidth="1"/>
    <col min="6" max="6" width="9.81640625" customWidth="1"/>
    <col min="7" max="7" width="11.81640625" customWidth="1"/>
    <col min="8" max="8" width="11.1796875" customWidth="1"/>
    <col min="9" max="10" width="13.1796875" customWidth="1"/>
    <col min="11" max="11" width="11.453125" bestFit="1" customWidth="1"/>
    <col min="12" max="12" width="11.81640625" customWidth="1"/>
    <col min="13" max="13" width="11.26953125" bestFit="1" customWidth="1"/>
  </cols>
  <sheetData>
    <row r="1" spans="1:15" s="2" customFormat="1" outlineLevel="1" x14ac:dyDescent="0.3">
      <c r="E1" s="2">
        <v>65</v>
      </c>
      <c r="F1" s="2">
        <f>MAX($E$1:E$1)+1</f>
        <v>66</v>
      </c>
      <c r="G1" s="2">
        <f>MAX($E$1:F$1)+1</f>
        <v>67</v>
      </c>
      <c r="H1" s="2">
        <f>MAX($E$1:G$1)+1</f>
        <v>68</v>
      </c>
      <c r="I1" s="2">
        <f>MAX($E$1:H$1)+1</f>
        <v>69</v>
      </c>
      <c r="J1" s="2">
        <f>MAX($E$1:I$1)+1</f>
        <v>70</v>
      </c>
      <c r="K1" s="2">
        <f>MAX($E$1:J$1)+1</f>
        <v>71</v>
      </c>
      <c r="L1" s="2">
        <f>MAX($E$1:K$1)+1</f>
        <v>72</v>
      </c>
      <c r="M1" s="2">
        <f>MAX($E$1:L$1)+1</f>
        <v>73</v>
      </c>
    </row>
    <row r="2" spans="1:15" s="2" customFormat="1" outlineLevel="1" x14ac:dyDescent="0.3">
      <c r="E2" s="2">
        <v>2017</v>
      </c>
      <c r="F2" s="2" t="s">
        <v>68</v>
      </c>
      <c r="H2" s="2" t="s">
        <v>69</v>
      </c>
    </row>
    <row r="3" spans="1:15" ht="18" x14ac:dyDescent="0.35">
      <c r="C3" s="4" t="s">
        <v>23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ht="18" x14ac:dyDescent="0.35">
      <c r="C4" s="4" t="s">
        <v>43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ht="6" customHeight="1" thickBot="1" x14ac:dyDescent="0.35"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 ht="6" customHeight="1" thickTop="1" x14ac:dyDescent="0.3"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5" ht="15" customHeight="1" x14ac:dyDescent="0.3">
      <c r="A7" s="2">
        <v>1</v>
      </c>
      <c r="C7" s="32" t="s">
        <v>38</v>
      </c>
      <c r="D7" s="8" t="str">
        <f>"["&amp;$A7&amp;"]"</f>
        <v>[1]</v>
      </c>
      <c r="E7" s="77">
        <v>5.8400000000000001E-2</v>
      </c>
      <c r="F7" s="11"/>
      <c r="G7" s="11"/>
      <c r="H7" s="11"/>
      <c r="I7" s="11"/>
      <c r="J7" s="11"/>
      <c r="K7" s="11"/>
      <c r="L7" s="11"/>
    </row>
    <row r="8" spans="1:15" ht="6" customHeight="1" x14ac:dyDescent="0.3"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5" ht="58" x14ac:dyDescent="0.35">
      <c r="E9" s="7" t="s">
        <v>10</v>
      </c>
      <c r="F9" s="7" t="s">
        <v>13</v>
      </c>
      <c r="G9" s="7" t="s">
        <v>26</v>
      </c>
      <c r="H9" s="7" t="s">
        <v>25</v>
      </c>
      <c r="I9" s="7" t="s">
        <v>40</v>
      </c>
      <c r="J9" s="53" t="s">
        <v>41</v>
      </c>
      <c r="K9" s="7" t="s">
        <v>31</v>
      </c>
      <c r="L9" s="7" t="s">
        <v>32</v>
      </c>
      <c r="M9" s="7" t="s">
        <v>39</v>
      </c>
      <c r="O9" s="27"/>
    </row>
    <row r="10" spans="1:15" ht="15.75" customHeight="1" x14ac:dyDescent="0.3">
      <c r="E10" s="7" t="str">
        <f t="shared" ref="E10:M10" si="0">"["&amp;CHAR(E1)&amp;"]"</f>
        <v>[A]</v>
      </c>
      <c r="F10" s="7" t="str">
        <f t="shared" si="0"/>
        <v>[B]</v>
      </c>
      <c r="G10" s="7" t="str">
        <f t="shared" si="0"/>
        <v>[C]</v>
      </c>
      <c r="H10" s="7" t="str">
        <f t="shared" si="0"/>
        <v>[D]</v>
      </c>
      <c r="I10" s="7" t="str">
        <f t="shared" si="0"/>
        <v>[E]</v>
      </c>
      <c r="J10" s="7" t="str">
        <f t="shared" si="0"/>
        <v>[F]</v>
      </c>
      <c r="K10" s="7" t="str">
        <f t="shared" si="0"/>
        <v>[G]</v>
      </c>
      <c r="L10" s="7" t="str">
        <f t="shared" si="0"/>
        <v>[H]</v>
      </c>
      <c r="M10" s="7" t="str">
        <f t="shared" si="0"/>
        <v>[I]</v>
      </c>
    </row>
    <row r="11" spans="1:15" ht="6" customHeight="1" x14ac:dyDescent="0.3">
      <c r="C11" s="9"/>
      <c r="D11" s="9"/>
      <c r="E11" s="10"/>
      <c r="F11" s="9"/>
      <c r="G11" s="9"/>
      <c r="H11" s="9"/>
      <c r="I11" s="9"/>
      <c r="J11" s="9"/>
      <c r="K11" s="9"/>
      <c r="L11" s="9"/>
      <c r="M11" s="9"/>
    </row>
    <row r="12" spans="1:15" ht="6" customHeight="1" x14ac:dyDescent="0.3">
      <c r="E12" s="5"/>
    </row>
    <row r="13" spans="1:15" ht="15" customHeight="1" x14ac:dyDescent="0.3">
      <c r="C13" s="32" t="s">
        <v>28</v>
      </c>
      <c r="E13" s="5"/>
    </row>
    <row r="14" spans="1:15" ht="15" customHeight="1" x14ac:dyDescent="0.25">
      <c r="A14" s="2">
        <f>MAX($A$7:$A13)+1</f>
        <v>2</v>
      </c>
      <c r="B14" s="2" t="s">
        <v>2</v>
      </c>
      <c r="C14" t="s">
        <v>2</v>
      </c>
      <c r="D14" s="8" t="str">
        <f>"["&amp;$A14&amp;"]"</f>
        <v>[2]</v>
      </c>
      <c r="E14" s="67">
        <f>INDEX('Div. Ratios Summary'!$A:$Z,MATCH($B15,'Div. Ratios Summary'!$C:$C,0),MATCH($B$14,'Div. Ratios Summary'!$7:$7,0))</f>
        <v>0.26334272187930724</v>
      </c>
      <c r="F14" s="33">
        <f>INDEX('Margins and Elasticities'!$A:$Z,MATCH($B14,'Margins and Elasticities'!$B:$B,0),MATCH($F$2,'Margins and Elasticities'!$7:$7,0))</f>
        <v>0.54945402611970962</v>
      </c>
      <c r="G14" s="1">
        <f>INDEX(Subs!$1:$1048576,MATCH($C14,Subs!$B:$B,0),MATCH($E$2,Subs!$6:$6,0))*1000</f>
        <v>34114</v>
      </c>
      <c r="H14" s="31">
        <f>INDEX('Margins and Elasticities'!$A:$Z,MATCH($B14,'Margins and Elasticities'!$B:$B,0),MATCH($H$2,'Margins and Elasticities'!$7:$7,0))</f>
        <v>-1.8199884839539422</v>
      </c>
      <c r="I14" s="31">
        <f>(E15*$G$15*$H$15)/(G14*H14)</f>
        <v>0.44881776404632323</v>
      </c>
      <c r="J14" s="31">
        <f>1+(1/(F14*H14))</f>
        <v>0</v>
      </c>
      <c r="K14" s="33">
        <f>(($B$32*I14-J14)/(1-$B$32*I14))*F14</f>
        <v>0.40215751420515877</v>
      </c>
      <c r="L14" s="33">
        <f>(($B$32*I14-J14)/(1-I14))*F14</f>
        <v>0.42128173990312395</v>
      </c>
      <c r="M14" s="33">
        <f>MIN(K14,L15)</f>
        <v>8.8315263907836117E-2</v>
      </c>
    </row>
    <row r="15" spans="1:15" ht="15" customHeight="1" x14ac:dyDescent="0.35">
      <c r="A15" s="2">
        <f>MAX($A$7:$A14)+1</f>
        <v>3</v>
      </c>
      <c r="B15" s="2" t="s">
        <v>1</v>
      </c>
      <c r="C15" s="9" t="s">
        <v>1</v>
      </c>
      <c r="D15" s="34" t="str">
        <f>"["&amp;$A15&amp;"]"</f>
        <v>[3]</v>
      </c>
      <c r="E15" s="61">
        <f>INDEX('Div. Ratios Summary'!$A:$Z,MATCH($B14,'Div. Ratios Summary'!$C:$C,0),MATCH($B$15,'Div. Ratios Summary'!$7:$7,0))</f>
        <v>0.22297110087309516</v>
      </c>
      <c r="F15" s="36">
        <f>INDEX('Margins and Elasticities'!$A:$Z,MATCH($B15,'Margins and Elasticities'!$B:$B,0),MATCH($F$2,'Margins and Elasticities'!$7:$7,0))</f>
        <v>0.62312519972126368</v>
      </c>
      <c r="G15" s="37">
        <f>INDEX(Subs!$1:$1048576,MATCH($C15,Subs!$B:$B,0),MATCH($E$2,Subs!$6:$6,0))*1000</f>
        <v>77875</v>
      </c>
      <c r="H15" s="38">
        <f>INDEX('Margins and Elasticities'!$A:$Z,MATCH($B15,'Margins and Elasticities'!$B:$B,0),MATCH($H$2,'Margins and Elasticities'!$7:$7,0))</f>
        <v>-1.604813928962141</v>
      </c>
      <c r="I15" s="38">
        <f>(E14*$G$14*$H$14)/(G15*H15)</f>
        <v>0.13082774637744976</v>
      </c>
      <c r="J15" s="38">
        <f>1+(1/(F15*H15))</f>
        <v>0</v>
      </c>
      <c r="K15" s="36">
        <f>(($B$32*I15-J15)/(1-$B$32*I15))*F15</f>
        <v>8.7545705301630014E-2</v>
      </c>
      <c r="L15" s="36">
        <f>(($B$32*I15-J15)/(1-I15))*F15</f>
        <v>8.8315263907836117E-2</v>
      </c>
      <c r="M15" s="36">
        <f>MIN(K15,L14)</f>
        <v>8.7545705301630014E-2</v>
      </c>
    </row>
    <row r="16" spans="1:15" ht="6" customHeight="1" x14ac:dyDescent="0.35">
      <c r="C16" s="11"/>
      <c r="D16" s="39"/>
      <c r="E16" s="40"/>
      <c r="F16" s="41"/>
      <c r="G16" s="42"/>
      <c r="H16" s="43"/>
      <c r="I16" s="43"/>
      <c r="J16" s="43"/>
      <c r="K16" s="41"/>
      <c r="L16" s="41"/>
      <c r="M16" s="41"/>
    </row>
    <row r="17" spans="1:13" ht="15" customHeight="1" x14ac:dyDescent="0.35">
      <c r="A17" s="2">
        <f>MAX($A$14:$A15)+1</f>
        <v>4</v>
      </c>
      <c r="C17" s="48" t="s">
        <v>33</v>
      </c>
      <c r="D17" s="39" t="str">
        <f>"["&amp;$A17&amp;"]"</f>
        <v>[4]</v>
      </c>
      <c r="E17" s="46">
        <f>MIN(M14,M15)</f>
        <v>8.7545705301630014E-2</v>
      </c>
    </row>
    <row r="18" spans="1:13" ht="6" customHeight="1" x14ac:dyDescent="0.35">
      <c r="C18" s="9"/>
      <c r="D18" s="34"/>
      <c r="E18" s="45"/>
      <c r="F18" s="9"/>
      <c r="G18" s="9"/>
      <c r="H18" s="9"/>
      <c r="I18" s="9"/>
      <c r="J18" s="9"/>
      <c r="K18" s="9"/>
      <c r="L18" s="9"/>
      <c r="M18" s="9"/>
    </row>
    <row r="19" spans="1:13" ht="6" customHeight="1" x14ac:dyDescent="0.35">
      <c r="C19" s="11"/>
      <c r="D19" s="39"/>
      <c r="E19" s="47"/>
      <c r="F19" s="11"/>
      <c r="G19" s="11"/>
      <c r="H19" s="11"/>
      <c r="I19" s="11"/>
      <c r="J19" s="11"/>
      <c r="K19" s="11"/>
      <c r="L19" s="11"/>
      <c r="M19" s="11"/>
    </row>
    <row r="20" spans="1:13" ht="15" customHeight="1" x14ac:dyDescent="0.35">
      <c r="C20" s="32" t="s">
        <v>34</v>
      </c>
      <c r="D20" s="8"/>
      <c r="E20" s="44"/>
    </row>
    <row r="21" spans="1:13" ht="15" customHeight="1" x14ac:dyDescent="0.35">
      <c r="A21" s="2">
        <f>MAX($A$14:$A20)+1</f>
        <v>5</v>
      </c>
      <c r="B21" s="2" t="s">
        <v>70</v>
      </c>
      <c r="C21" t="s">
        <v>35</v>
      </c>
      <c r="D21" s="39" t="str">
        <f>"["&amp;$A21&amp;"]"</f>
        <v>[5]</v>
      </c>
      <c r="E21" s="67">
        <f>INDEX('Div. Ratios Summary'!$A:$Z,MATCH($B15,'Div. Ratios Summary'!$C:$C,0),MATCH($B$21,'Div. Ratios Summary'!$7:$7,0))</f>
        <v>0.33456926415166166</v>
      </c>
      <c r="F21" s="33">
        <f>INDEX('Margins and Elasticities'!$A:$Z,MATCH($B21,'Margins and Elasticities'!$B:$B,0),MATCH($F$2,'Margins and Elasticities'!$7:$7,0))</f>
        <v>0.52118192714121681</v>
      </c>
      <c r="G21" s="128">
        <f>INDEX(Subs!$1:$1048576,MATCH($B21,Subs!$B:$B,0),MATCH($E$2,Subs!$6:$6,0))*1000</f>
        <v>66056</v>
      </c>
      <c r="H21" s="31">
        <f>INDEX('Margins and Elasticities'!$A:$Z,MATCH($B21,'Margins and Elasticities'!$B:$B,0),MATCH($H$2,'Margins and Elasticities'!$7:$7,0))</f>
        <v>-1.9187158032996126</v>
      </c>
      <c r="I21" s="31">
        <f>(E22*$G$22*$H$22)/(G21*H21)</f>
        <v>0.40043133851925899</v>
      </c>
      <c r="J21" s="31">
        <f>1+(1/(F21*H21))</f>
        <v>0</v>
      </c>
      <c r="K21" s="33">
        <f>(($B$32*I21-J21)/(1-$B$32*I21))*F21</f>
        <v>0.31544814707785229</v>
      </c>
      <c r="L21" s="33">
        <f>(($B$32*I21-J21)/(1-I21))*F21</f>
        <v>0.32775168357327467</v>
      </c>
      <c r="M21" s="33">
        <f>MIN(K21,L22)</f>
        <v>0.30131787143307814</v>
      </c>
    </row>
    <row r="22" spans="1:13" ht="15" customHeight="1" x14ac:dyDescent="0.35">
      <c r="A22" s="2">
        <f>MAX($A$14:$A21)+1</f>
        <v>6</v>
      </c>
      <c r="B22" s="2" t="s">
        <v>3</v>
      </c>
      <c r="C22" s="11" t="s">
        <v>1</v>
      </c>
      <c r="D22" s="39" t="str">
        <f>"["&amp;$A22&amp;"]"</f>
        <v>[6]</v>
      </c>
      <c r="E22" s="67">
        <f>INDEX('Div. Ratios Summary'!$A:$Z,MATCH($B$21,'Div. Ratios Summary'!$C:$C,0),MATCH($C$22,'Div. Ratios Summary'!$7:$7,0))</f>
        <v>0.40609555720222945</v>
      </c>
      <c r="F22" s="33">
        <f>INDEX('Margins and Elasticities'!$A:$Z,MATCH($C22,'Margins and Elasticities'!$B:$B,0),MATCH($F$2,'Margins and Elasticities'!$7:$7,0))</f>
        <v>0.62312519972126368</v>
      </c>
      <c r="G22" s="128">
        <f>INDEX(Subs!$1:$1048576,MATCH($C22,Subs!$B:$B,0),MATCH($E$2,Subs!$6:$6,0))*1000</f>
        <v>77875</v>
      </c>
      <c r="H22" s="31">
        <f>INDEX('Margins and Elasticities'!$A:$Z,MATCH($C22,'Margins and Elasticities'!$B:$B,0),MATCH($H$2,'Margins and Elasticities'!$7:$7,0))</f>
        <v>-1.604813928962141</v>
      </c>
      <c r="I22" s="43">
        <f>(E21*$G$21*$H$21)/(G22*H22)</f>
        <v>0.33930184448306944</v>
      </c>
      <c r="J22" s="31">
        <f>1+(1/(F22*H22))</f>
        <v>0</v>
      </c>
      <c r="K22" s="33">
        <f>(($B$32*I22-J22)/(1-$B$32*I22))*F22</f>
        <v>0.29254408037328783</v>
      </c>
      <c r="L22" s="33">
        <f>(($B$32*I22-J22)/(1-I22))*F22</f>
        <v>0.30131787143307814</v>
      </c>
      <c r="M22" s="33">
        <f>MIN(K22,L21)</f>
        <v>0.29254408037328783</v>
      </c>
    </row>
    <row r="23" spans="1:13" ht="6" customHeight="1" x14ac:dyDescent="0.35">
      <c r="C23" s="9"/>
      <c r="D23" s="34"/>
      <c r="E23" s="35"/>
      <c r="F23" s="36"/>
      <c r="G23" s="37"/>
      <c r="H23" s="38"/>
      <c r="I23" s="38"/>
      <c r="J23" s="38"/>
      <c r="K23" s="36"/>
      <c r="L23" s="36"/>
      <c r="M23" s="36"/>
    </row>
    <row r="24" spans="1:13" ht="6" customHeight="1" x14ac:dyDescent="0.35">
      <c r="C24" s="11"/>
      <c r="D24" s="39"/>
      <c r="E24" s="16"/>
      <c r="F24" s="33"/>
      <c r="G24" s="1"/>
      <c r="H24" s="31"/>
      <c r="I24" s="43"/>
      <c r="J24" s="31"/>
      <c r="K24" s="33"/>
      <c r="L24" s="33"/>
      <c r="M24" s="33"/>
    </row>
    <row r="25" spans="1:13" ht="15" customHeight="1" x14ac:dyDescent="0.35">
      <c r="A25" s="2">
        <f>MAX($A$14:$A24)+1</f>
        <v>7</v>
      </c>
      <c r="C25" s="48" t="s">
        <v>36</v>
      </c>
      <c r="D25" s="39" t="str">
        <f>"["&amp;$A25&amp;"]"</f>
        <v>[7]</v>
      </c>
      <c r="E25" s="46">
        <f>MIN(M21,M22)</f>
        <v>0.29254408037328783</v>
      </c>
      <c r="F25" s="33"/>
      <c r="G25" s="1"/>
      <c r="H25" s="31"/>
      <c r="I25" s="43"/>
      <c r="J25" s="31"/>
      <c r="K25" s="33"/>
      <c r="L25" s="33"/>
      <c r="M25" s="33"/>
    </row>
    <row r="26" spans="1:13" ht="6" customHeight="1" x14ac:dyDescent="0.35">
      <c r="C26" s="49"/>
      <c r="D26" s="34"/>
      <c r="E26" s="50"/>
      <c r="F26" s="36"/>
      <c r="G26" s="37"/>
      <c r="H26" s="38"/>
      <c r="I26" s="38"/>
      <c r="J26" s="38"/>
      <c r="K26" s="36"/>
      <c r="L26" s="36"/>
      <c r="M26" s="36"/>
    </row>
    <row r="27" spans="1:13" ht="6" customHeight="1" thickBot="1" x14ac:dyDescent="0.4">
      <c r="C27" s="48"/>
      <c r="D27" s="39"/>
      <c r="E27" s="46"/>
      <c r="F27" s="33"/>
      <c r="G27" s="1"/>
      <c r="H27" s="31"/>
      <c r="I27" s="43"/>
      <c r="J27" s="31"/>
      <c r="K27" s="33"/>
      <c r="L27" s="33"/>
      <c r="M27" s="33"/>
    </row>
    <row r="28" spans="1:13" ht="15" customHeight="1" thickBot="1" x14ac:dyDescent="0.4">
      <c r="A28" s="2">
        <f>MAX($A$14:$A27)+1</f>
        <v>8</v>
      </c>
      <c r="C28" s="48" t="s">
        <v>37</v>
      </c>
      <c r="D28" s="39" t="str">
        <f>"["&amp;$A28&amp;"]"</f>
        <v>[8]</v>
      </c>
      <c r="E28" s="51">
        <f>E25-E17</f>
        <v>0.2049983750716578</v>
      </c>
      <c r="F28" s="33"/>
      <c r="G28" s="1"/>
      <c r="H28" s="31"/>
      <c r="I28" s="43"/>
      <c r="J28" s="31"/>
      <c r="K28" s="33"/>
      <c r="L28" s="33"/>
      <c r="M28" s="33"/>
    </row>
    <row r="29" spans="1:13" ht="6" customHeight="1" thickBot="1" x14ac:dyDescent="0.4">
      <c r="C29" s="6"/>
      <c r="D29" s="12"/>
      <c r="E29" s="6"/>
      <c r="F29" s="6"/>
      <c r="G29" s="13"/>
      <c r="H29" s="13"/>
      <c r="I29" s="13"/>
      <c r="J29" s="13"/>
      <c r="K29" s="13"/>
      <c r="L29" s="13"/>
      <c r="M29" s="6"/>
    </row>
    <row r="30" spans="1:13" ht="6" customHeight="1" thickTop="1" x14ac:dyDescent="0.35"/>
    <row r="31" spans="1:13" ht="30" customHeight="1" x14ac:dyDescent="0.35">
      <c r="A31" s="17"/>
      <c r="B31" s="25">
        <v>100</v>
      </c>
      <c r="C31" s="232" t="s">
        <v>20</v>
      </c>
      <c r="D31" s="232"/>
      <c r="E31" s="232"/>
      <c r="F31" s="232"/>
      <c r="G31" s="232"/>
      <c r="H31" s="232"/>
      <c r="I31" s="232"/>
      <c r="J31" s="232"/>
      <c r="K31" s="232"/>
      <c r="L31" s="232"/>
      <c r="M31" s="232"/>
    </row>
    <row r="32" spans="1:13" x14ac:dyDescent="0.35">
      <c r="A32" s="25" t="s">
        <v>24</v>
      </c>
      <c r="B32" s="52">
        <f>1-E7</f>
        <v>0.94159999999999999</v>
      </c>
      <c r="C32" s="14" t="s">
        <v>7</v>
      </c>
      <c r="D32" s="14"/>
      <c r="E32" s="14"/>
      <c r="F32" s="14"/>
      <c r="G32" s="14"/>
      <c r="H32" s="14"/>
      <c r="I32" s="14"/>
      <c r="J32" s="14"/>
      <c r="K32" s="14"/>
      <c r="L32" s="14"/>
    </row>
    <row r="33" spans="1:13" x14ac:dyDescent="0.35">
      <c r="A33" s="25"/>
      <c r="B33" s="52"/>
      <c r="C33" s="14" t="str">
        <f>D7&amp;": Assumed discount rate for wireless carriers."</f>
        <v>[1]: Assumed discount rate for wireless carriers.</v>
      </c>
      <c r="D33" s="14"/>
      <c r="E33" s="14"/>
      <c r="F33" s="14"/>
      <c r="G33" s="14"/>
      <c r="H33" s="14"/>
      <c r="I33" s="14"/>
      <c r="J33" s="14"/>
      <c r="K33" s="14"/>
      <c r="L33" s="14"/>
    </row>
    <row r="34" spans="1:13" ht="30" customHeight="1" x14ac:dyDescent="0.35">
      <c r="A34" s="25"/>
      <c r="B34" s="26"/>
      <c r="C34" s="232" t="str">
        <f>E10&amp;": Diversion ratios are constructed based on annual gross additions.  "&amp;"Ratio for T-Mobile post-merger is the sum of the diversion ratios from AT&amp;T to both T-Mobile and Sprint.  Diversion ratio for AT&amp;T post-merger is the average of the diversion ratios to AT&amp;T from Sprint and T-Mobile."</f>
        <v>[A]: Diversion ratios are constructed based on annual gross additions.  Ratio for T-Mobile post-merger is the sum of the diversion ratios from AT&amp;T to both T-Mobile and Sprint.  Diversion ratio for AT&amp;T post-merger is the average of the diversion ratios to AT&amp;T from Sprint and T-Mobile.</v>
      </c>
      <c r="D34" s="232"/>
      <c r="E34" s="232"/>
      <c r="F34" s="232"/>
      <c r="G34" s="232"/>
      <c r="H34" s="232"/>
      <c r="I34" s="232"/>
      <c r="J34" s="232"/>
      <c r="K34" s="232"/>
      <c r="L34" s="232"/>
      <c r="M34" s="232"/>
    </row>
    <row r="35" spans="1:13" x14ac:dyDescent="0.35">
      <c r="A35" s="25"/>
      <c r="B35" s="25"/>
      <c r="C35" s="14" t="str">
        <f>F10&amp;"-"&amp;G10&amp;": From FCC Mobile Wireless, 20th Report."</f>
        <v>[B]-[C]: From FCC Mobile Wireless, 20th Report.</v>
      </c>
      <c r="D35" s="14"/>
      <c r="E35" s="14"/>
      <c r="F35" s="14"/>
      <c r="G35" s="30"/>
      <c r="H35" s="30"/>
      <c r="I35" s="30"/>
      <c r="J35" s="30"/>
      <c r="K35" s="30"/>
      <c r="L35" s="30"/>
    </row>
    <row r="36" spans="1:13" x14ac:dyDescent="0.35">
      <c r="A36" s="25"/>
      <c r="B36" s="25"/>
      <c r="C36" s="14" t="str">
        <f>H10&amp;": "&amp;"Calculated using EBITDA margins reported in the 20th FCC Mobile Wireless Report and the Learner Index."</f>
        <v>[D]: Calculated using EBITDA margins reported in the 20th FCC Mobile Wireless Report and the Learner Index.</v>
      </c>
      <c r="D36" s="14"/>
      <c r="E36" s="14"/>
      <c r="F36" s="14"/>
      <c r="G36" s="30"/>
      <c r="H36" s="30"/>
      <c r="I36" s="30"/>
      <c r="J36" s="30"/>
      <c r="K36" s="30"/>
      <c r="L36" s="30"/>
    </row>
    <row r="37" spans="1:13" x14ac:dyDescent="0.35">
      <c r="A37" s="25"/>
      <c r="B37" s="25"/>
      <c r="C37" s="127" t="s">
        <v>118</v>
      </c>
    </row>
    <row r="38" spans="1:13" x14ac:dyDescent="0.35">
      <c r="A38" s="25"/>
      <c r="B38" s="25"/>
      <c r="C38" s="127" t="s">
        <v>115</v>
      </c>
    </row>
    <row r="39" spans="1:13" x14ac:dyDescent="0.35">
      <c r="C39" s="127" t="s">
        <v>116</v>
      </c>
    </row>
    <row r="40" spans="1:13" x14ac:dyDescent="0.35">
      <c r="C40" s="127" t="s">
        <v>117</v>
      </c>
    </row>
    <row r="41" spans="1:13" x14ac:dyDescent="0.35">
      <c r="C41" s="127" t="s">
        <v>119</v>
      </c>
    </row>
  </sheetData>
  <mergeCells count="2">
    <mergeCell ref="C31:M31"/>
    <mergeCell ref="C34:M34"/>
  </mergeCells>
  <printOptions horizontalCentered="1"/>
  <pageMargins left="0.25" right="0.25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tabSelected="1" zoomScale="110" zoomScaleNormal="110" workbookViewId="0">
      <selection activeCell="J3" sqref="J3"/>
    </sheetView>
  </sheetViews>
  <sheetFormatPr defaultRowHeight="14.5" outlineLevelRow="1" outlineLevelCol="2" x14ac:dyDescent="0.35"/>
  <cols>
    <col min="1" max="1" width="14.7265625" style="2" customWidth="1" outlineLevel="1"/>
    <col min="2" max="2" width="9.1796875" style="2" customWidth="1" outlineLevel="2"/>
    <col min="3" max="3" width="16.26953125" customWidth="1"/>
    <col min="4" max="4" width="4.1796875" customWidth="1"/>
    <col min="5" max="5" width="11.1796875" customWidth="1"/>
    <col min="6" max="6" width="9.81640625" customWidth="1"/>
    <col min="7" max="7" width="11.81640625" customWidth="1"/>
    <col min="8" max="8" width="11.1796875" customWidth="1"/>
    <col min="9" max="10" width="13.1796875" customWidth="1"/>
    <col min="11" max="11" width="11.453125" bestFit="1" customWidth="1"/>
    <col min="12" max="12" width="11.81640625" customWidth="1"/>
    <col min="13" max="13" width="11.26953125" bestFit="1" customWidth="1"/>
  </cols>
  <sheetData>
    <row r="1" spans="1:15" s="2" customFormat="1" outlineLevel="1" x14ac:dyDescent="0.3">
      <c r="E1" s="2">
        <v>65</v>
      </c>
      <c r="F1" s="2">
        <f>MAX($E$1:E$1)+1</f>
        <v>66</v>
      </c>
      <c r="G1" s="2">
        <f>MAX($E$1:F$1)+1</f>
        <v>67</v>
      </c>
      <c r="H1" s="2">
        <f>MAX($E$1:G$1)+1</f>
        <v>68</v>
      </c>
      <c r="I1" s="2">
        <f>MAX($E$1:H$1)+1</f>
        <v>69</v>
      </c>
      <c r="J1" s="2">
        <f>MAX($E$1:I$1)+1</f>
        <v>70</v>
      </c>
      <c r="K1" s="2">
        <f>MAX($E$1:J$1)+1</f>
        <v>71</v>
      </c>
      <c r="L1" s="2">
        <f>MAX($E$1:K$1)+1</f>
        <v>72</v>
      </c>
      <c r="M1" s="2">
        <f>MAX($E$1:L$1)+1</f>
        <v>73</v>
      </c>
    </row>
    <row r="2" spans="1:15" s="2" customFormat="1" outlineLevel="1" x14ac:dyDescent="0.3">
      <c r="E2" s="2">
        <v>2017</v>
      </c>
      <c r="F2" s="2" t="s">
        <v>68</v>
      </c>
      <c r="H2" s="2" t="s">
        <v>69</v>
      </c>
    </row>
    <row r="3" spans="1:15" ht="18" x14ac:dyDescent="0.35">
      <c r="C3" s="196" t="s">
        <v>23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36"/>
    </row>
    <row r="4" spans="1:15" ht="18" x14ac:dyDescent="0.35">
      <c r="C4" s="196" t="s">
        <v>44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36"/>
    </row>
    <row r="5" spans="1:15" ht="6" customHeight="1" thickBot="1" x14ac:dyDescent="0.35"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36"/>
    </row>
    <row r="6" spans="1:15" ht="6" customHeight="1" thickTop="1" x14ac:dyDescent="0.3"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6"/>
      <c r="N6" s="136"/>
    </row>
    <row r="7" spans="1:15" ht="15" customHeight="1" x14ac:dyDescent="0.3">
      <c r="A7" s="2">
        <v>1</v>
      </c>
      <c r="C7" s="199" t="s">
        <v>38</v>
      </c>
      <c r="D7" s="93" t="str">
        <f>"["&amp;$A7&amp;"]"</f>
        <v>[1]</v>
      </c>
      <c r="E7" s="200">
        <v>5.8400000000000001E-2</v>
      </c>
      <c r="F7" s="137"/>
      <c r="G7" s="137"/>
      <c r="H7" s="137"/>
      <c r="I7" s="137"/>
      <c r="J7" s="137"/>
      <c r="K7" s="137"/>
      <c r="L7" s="137"/>
      <c r="M7" s="136"/>
      <c r="N7" s="136"/>
    </row>
    <row r="8" spans="1:15" ht="6" customHeight="1" x14ac:dyDescent="0.3"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6"/>
      <c r="N8" s="136"/>
    </row>
    <row r="9" spans="1:15" ht="58" x14ac:dyDescent="0.35">
      <c r="C9" s="136"/>
      <c r="D9" s="136"/>
      <c r="E9" s="201" t="s">
        <v>10</v>
      </c>
      <c r="F9" s="201" t="s">
        <v>13</v>
      </c>
      <c r="G9" s="201" t="s">
        <v>26</v>
      </c>
      <c r="H9" s="201" t="s">
        <v>25</v>
      </c>
      <c r="I9" s="201" t="s">
        <v>40</v>
      </c>
      <c r="J9" s="202" t="s">
        <v>41</v>
      </c>
      <c r="K9" s="201" t="s">
        <v>31</v>
      </c>
      <c r="L9" s="201" t="s">
        <v>32</v>
      </c>
      <c r="M9" s="201" t="s">
        <v>39</v>
      </c>
      <c r="N9" s="136"/>
      <c r="O9" s="27"/>
    </row>
    <row r="10" spans="1:15" ht="15.75" customHeight="1" x14ac:dyDescent="0.25">
      <c r="C10" s="136"/>
      <c r="D10" s="136"/>
      <c r="E10" s="201" t="str">
        <f t="shared" ref="E10:M10" si="0">"["&amp;CHAR(E1)&amp;"]"</f>
        <v>[A]</v>
      </c>
      <c r="F10" s="201" t="str">
        <f t="shared" si="0"/>
        <v>[B]</v>
      </c>
      <c r="G10" s="201" t="str">
        <f t="shared" si="0"/>
        <v>[C]</v>
      </c>
      <c r="H10" s="201" t="str">
        <f t="shared" si="0"/>
        <v>[D]</v>
      </c>
      <c r="I10" s="201" t="str">
        <f t="shared" si="0"/>
        <v>[E]</v>
      </c>
      <c r="J10" s="201" t="str">
        <f t="shared" si="0"/>
        <v>[F]</v>
      </c>
      <c r="K10" s="201" t="str">
        <f t="shared" si="0"/>
        <v>[G]</v>
      </c>
      <c r="L10" s="201" t="str">
        <f t="shared" si="0"/>
        <v>[H]</v>
      </c>
      <c r="M10" s="201" t="str">
        <f t="shared" si="0"/>
        <v>[I]</v>
      </c>
      <c r="N10" s="136"/>
    </row>
    <row r="11" spans="1:15" ht="6" customHeight="1" x14ac:dyDescent="0.25">
      <c r="C11" s="203"/>
      <c r="D11" s="203"/>
      <c r="E11" s="204"/>
      <c r="F11" s="203"/>
      <c r="G11" s="203"/>
      <c r="H11" s="203"/>
      <c r="I11" s="203"/>
      <c r="J11" s="203"/>
      <c r="K11" s="203"/>
      <c r="L11" s="203"/>
      <c r="M11" s="203"/>
      <c r="N11" s="136"/>
    </row>
    <row r="12" spans="1:15" ht="6" customHeight="1" x14ac:dyDescent="0.25">
      <c r="C12" s="136"/>
      <c r="D12" s="136"/>
      <c r="E12" s="205"/>
      <c r="F12" s="136"/>
      <c r="G12" s="136"/>
      <c r="H12" s="136"/>
      <c r="I12" s="136"/>
      <c r="J12" s="136"/>
      <c r="K12" s="136"/>
      <c r="L12" s="136"/>
      <c r="M12" s="136"/>
      <c r="N12" s="136"/>
    </row>
    <row r="13" spans="1:15" ht="15" customHeight="1" x14ac:dyDescent="0.25">
      <c r="C13" s="199" t="s">
        <v>28</v>
      </c>
      <c r="D13" s="136"/>
      <c r="E13" s="205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5" ht="15" customHeight="1" x14ac:dyDescent="0.3">
      <c r="A14" s="2">
        <f>MAX($A$7:$A13)+1</f>
        <v>2</v>
      </c>
      <c r="B14" s="2" t="s">
        <v>3</v>
      </c>
      <c r="C14" s="136" t="s">
        <v>3</v>
      </c>
      <c r="D14" s="93" t="str">
        <f>"["&amp;$A14&amp;"]"</f>
        <v>[2]</v>
      </c>
      <c r="E14" s="206">
        <f>INDEX('Div. Ratios Summary'!$A:$Z,MATCH($B15,'Div. Ratios Summary'!$C:$C,0),MATCH($B$14,'Div. Ratios Summary'!$7:$7,0))</f>
        <v>0.25168384879725086</v>
      </c>
      <c r="F14" s="207">
        <f>INDEX('Margins and Elasticities'!$A:$Z,MATCH($B14,'Margins and Elasticities'!$B:$B,0),MATCH($F$2,'Margins and Elasticities'!$7:$7,0))</f>
        <v>0.49098737499819789</v>
      </c>
      <c r="G14" s="107">
        <f>INDEX(Subs!$1:$1048576,MATCH($C14,Subs!$B:$B,0),MATCH($E$2,Subs!$6:$6,0))*1000</f>
        <v>31942</v>
      </c>
      <c r="H14" s="208">
        <f>INDEX('Margins and Elasticities'!$A:$Z,MATCH($B14,'Margins and Elasticities'!$B:$B,0),MATCH($H$2,'Margins and Elasticities'!$7:$7,0))</f>
        <v>-2.0367122474456099</v>
      </c>
      <c r="I14" s="208">
        <f>(E15*$G$15*$H$15)/(G14*H14)</f>
        <v>0.35178499636076893</v>
      </c>
      <c r="J14" s="208">
        <f>1+(1/(F14*H14))</f>
        <v>0</v>
      </c>
      <c r="K14" s="207">
        <f>(($B$32*I14-J14)/(1-$B$32*I14))*F14</f>
        <v>0.24318920183039106</v>
      </c>
      <c r="L14" s="207">
        <f>(($B$32*I14-J14)/(1-I14))*F14</f>
        <v>0.2508967343941762</v>
      </c>
      <c r="M14" s="207">
        <f>MIN(K14,L15)</f>
        <v>8.846151515447899E-2</v>
      </c>
      <c r="N14" s="136"/>
    </row>
    <row r="15" spans="1:15" ht="15" customHeight="1" x14ac:dyDescent="0.35">
      <c r="A15" s="2">
        <f>MAX($A$7:$A14)+1</f>
        <v>3</v>
      </c>
      <c r="B15" s="2" t="s">
        <v>1</v>
      </c>
      <c r="C15" s="203" t="s">
        <v>1</v>
      </c>
      <c r="D15" s="151" t="str">
        <f>"["&amp;$A15&amp;"]"</f>
        <v>[3]</v>
      </c>
      <c r="E15" s="209">
        <f>INDEX('Div. Ratios Summary'!$A:$Z,MATCH($B14,'Div. Ratios Summary'!$C:$C,0),MATCH($B$15,'Div. Ratios Summary'!$7:$7,0))</f>
        <v>0.18312445632913432</v>
      </c>
      <c r="F15" s="210">
        <f>INDEX('Margins and Elasticities'!$A:$Z,MATCH($B15,'Margins and Elasticities'!$B:$B,0),MATCH($F$2,'Margins and Elasticities'!$7:$7,0))</f>
        <v>0.62312519972126368</v>
      </c>
      <c r="G15" s="211">
        <f>INDEX(Subs!$1:$1048576,MATCH($C15,Subs!$B:$B,0),MATCH($E$2,Subs!$6:$6,0))*1000</f>
        <v>77875</v>
      </c>
      <c r="H15" s="212">
        <f>INDEX('Margins and Elasticities'!$A:$Z,MATCH($B15,'Margins and Elasticities'!$B:$B,0),MATCH($H$2,'Margins and Elasticities'!$7:$7,0))</f>
        <v>-1.604813928962141</v>
      </c>
      <c r="I15" s="212">
        <f>(E14*$G$14*$H$14)/(G15*H15)</f>
        <v>0.13101601391366363</v>
      </c>
      <c r="J15" s="212">
        <f>1+(1/(F15*H15))</f>
        <v>0</v>
      </c>
      <c r="K15" s="210">
        <f>(($B$32*I15-J15)/(1-$B$32*I15))*F15</f>
        <v>8.7689416780830504E-2</v>
      </c>
      <c r="L15" s="210">
        <f>(($B$32*I15-J15)/(1-I15))*F15</f>
        <v>8.846151515447899E-2</v>
      </c>
      <c r="M15" s="210">
        <f>MIN(K15,L14)</f>
        <v>8.7689416780830504E-2</v>
      </c>
      <c r="N15" s="136"/>
    </row>
    <row r="16" spans="1:15" ht="6" customHeight="1" x14ac:dyDescent="0.35">
      <c r="C16" s="137"/>
      <c r="D16" s="138"/>
      <c r="E16" s="213"/>
      <c r="F16" s="214"/>
      <c r="G16" s="215"/>
      <c r="H16" s="216"/>
      <c r="I16" s="216"/>
      <c r="J16" s="216"/>
      <c r="K16" s="214"/>
      <c r="L16" s="214"/>
      <c r="M16" s="214"/>
      <c r="N16" s="136"/>
    </row>
    <row r="17" spans="1:14" ht="15" customHeight="1" x14ac:dyDescent="0.35">
      <c r="A17" s="2">
        <f>MAX($A$14:$A15)+1</f>
        <v>4</v>
      </c>
      <c r="C17" s="217" t="s">
        <v>33</v>
      </c>
      <c r="D17" s="138" t="str">
        <f>"["&amp;$A17&amp;"]"</f>
        <v>[4]</v>
      </c>
      <c r="E17" s="218">
        <f>MIN(M14,M15)</f>
        <v>8.7689416780830504E-2</v>
      </c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ht="6" customHeight="1" x14ac:dyDescent="0.35">
      <c r="C18" s="203"/>
      <c r="D18" s="151"/>
      <c r="E18" s="219"/>
      <c r="F18" s="203"/>
      <c r="G18" s="203"/>
      <c r="H18" s="203"/>
      <c r="I18" s="203"/>
      <c r="J18" s="203"/>
      <c r="K18" s="203"/>
      <c r="L18" s="203"/>
      <c r="M18" s="203"/>
      <c r="N18" s="136"/>
    </row>
    <row r="19" spans="1:14" ht="6" customHeight="1" x14ac:dyDescent="0.35">
      <c r="C19" s="137"/>
      <c r="D19" s="138"/>
      <c r="E19" s="220"/>
      <c r="F19" s="137"/>
      <c r="G19" s="137"/>
      <c r="H19" s="137"/>
      <c r="I19" s="137"/>
      <c r="J19" s="137"/>
      <c r="K19" s="137"/>
      <c r="L19" s="137"/>
      <c r="M19" s="137"/>
      <c r="N19" s="136"/>
    </row>
    <row r="20" spans="1:14" ht="15" customHeight="1" x14ac:dyDescent="0.35">
      <c r="C20" s="199" t="s">
        <v>34</v>
      </c>
      <c r="D20" s="93"/>
      <c r="E20" s="221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ht="15" customHeight="1" x14ac:dyDescent="0.35">
      <c r="A21" s="2">
        <f>MAX($A$14:$A20)+1</f>
        <v>5</v>
      </c>
      <c r="B21" s="2" t="s">
        <v>70</v>
      </c>
      <c r="C21" s="136" t="s">
        <v>42</v>
      </c>
      <c r="D21" s="138" t="str">
        <f>"["&amp;$A21&amp;"]"</f>
        <v>[5]</v>
      </c>
      <c r="E21" s="206">
        <f>INDEX('Div. Ratios Summary'!$A:$Z,MATCH($B15,'Div. Ratios Summary'!$C:$C,0),MATCH($B$21,'Div. Ratios Summary'!$7:$7,0))</f>
        <v>0.33456926415166166</v>
      </c>
      <c r="F21" s="207">
        <f>INDEX('Margins and Elasticities'!$A:$Z,MATCH($B21,'Margins and Elasticities'!$B:$B,0),MATCH($F$2,'Margins and Elasticities'!$7:$7,0))</f>
        <v>0.52118192714121681</v>
      </c>
      <c r="G21" s="107">
        <f>INDEX(Subs!$1:$1048576,MATCH($B21,Subs!$B:$B,0),MATCH($E$2,Subs!$6:$6,0))*1000</f>
        <v>66056</v>
      </c>
      <c r="H21" s="208">
        <f>INDEX('Margins and Elasticities'!$A:$Z,MATCH($B21,'Margins and Elasticities'!$B:$B,0),MATCH($H$2,'Margins and Elasticities'!$7:$7,0))</f>
        <v>-1.9187158032996126</v>
      </c>
      <c r="I21" s="208">
        <f>(E22*$G$22*$H$22)/(G21*H21)</f>
        <v>0.40043133851925899</v>
      </c>
      <c r="J21" s="208">
        <f>1+(1/(F21*H21))</f>
        <v>0</v>
      </c>
      <c r="K21" s="207">
        <f>(($B$32*I21-J21)/(1-$B$32*I21))*F21</f>
        <v>0.31544814707785229</v>
      </c>
      <c r="L21" s="207">
        <f>(($B$32*I21-J21)/(1-I21))*F21</f>
        <v>0.32775168357327467</v>
      </c>
      <c r="M21" s="207">
        <f>MIN(K21,L22)</f>
        <v>0.30131787143307814</v>
      </c>
      <c r="N21" s="136"/>
    </row>
    <row r="22" spans="1:14" ht="15" customHeight="1" x14ac:dyDescent="0.35">
      <c r="A22" s="2">
        <f>MAX($A$14:$A21)+1</f>
        <v>6</v>
      </c>
      <c r="B22" s="2" t="s">
        <v>2</v>
      </c>
      <c r="C22" s="137" t="s">
        <v>1</v>
      </c>
      <c r="D22" s="138" t="str">
        <f>"["&amp;$A22&amp;"]"</f>
        <v>[6]</v>
      </c>
      <c r="E22" s="206">
        <f>INDEX('Div. Ratios Summary'!$A:$Z,MATCH($B$21,'Div. Ratios Summary'!$C:$C,0),MATCH($C$22,'Div. Ratios Summary'!$7:$7,0))</f>
        <v>0.40609555720222945</v>
      </c>
      <c r="F22" s="207">
        <f>INDEX('Margins and Elasticities'!$A:$Z,MATCH($C22,'Margins and Elasticities'!$B:$B,0),MATCH($F$2,'Margins and Elasticities'!$7:$7,0))</f>
        <v>0.62312519972126368</v>
      </c>
      <c r="G22" s="107">
        <f>INDEX(Subs!$1:$1048576,MATCH($C22,Subs!$B:$B,0),MATCH($E$2,Subs!$6:$6,0))*1000</f>
        <v>77875</v>
      </c>
      <c r="H22" s="208">
        <f>INDEX('Margins and Elasticities'!$A:$Z,MATCH($C22,'Margins and Elasticities'!$B:$B,0),MATCH($H$2,'Margins and Elasticities'!$7:$7,0))</f>
        <v>-1.604813928962141</v>
      </c>
      <c r="I22" s="216">
        <f>(E21*$G$21*$H$21)/(G22*H22)</f>
        <v>0.33930184448306944</v>
      </c>
      <c r="J22" s="208">
        <f>1+(1/(F22*H22))</f>
        <v>0</v>
      </c>
      <c r="K22" s="207">
        <f>(($B$32*I22-J22)/(1-$B$32*I22))*F22</f>
        <v>0.29254408037328783</v>
      </c>
      <c r="L22" s="207">
        <f>(($B$32*I22-J22)/(1-I22))*F22</f>
        <v>0.30131787143307814</v>
      </c>
      <c r="M22" s="207">
        <f>MIN(K22,L21)</f>
        <v>0.29254408037328783</v>
      </c>
      <c r="N22" s="136"/>
    </row>
    <row r="23" spans="1:14" ht="6" customHeight="1" x14ac:dyDescent="0.35">
      <c r="C23" s="203"/>
      <c r="D23" s="151"/>
      <c r="E23" s="222"/>
      <c r="F23" s="210"/>
      <c r="G23" s="211"/>
      <c r="H23" s="212"/>
      <c r="I23" s="212"/>
      <c r="J23" s="212"/>
      <c r="K23" s="210"/>
      <c r="L23" s="210"/>
      <c r="M23" s="210"/>
      <c r="N23" s="136"/>
    </row>
    <row r="24" spans="1:14" ht="6" customHeight="1" x14ac:dyDescent="0.35">
      <c r="C24" s="137"/>
      <c r="D24" s="138"/>
      <c r="E24" s="223"/>
      <c r="F24" s="207"/>
      <c r="G24" s="107"/>
      <c r="H24" s="208"/>
      <c r="I24" s="216"/>
      <c r="J24" s="208"/>
      <c r="K24" s="207"/>
      <c r="L24" s="207"/>
      <c r="M24" s="207"/>
      <c r="N24" s="136"/>
    </row>
    <row r="25" spans="1:14" ht="15" customHeight="1" x14ac:dyDescent="0.35">
      <c r="A25" s="2">
        <f>MAX($A$14:$A24)+1</f>
        <v>7</v>
      </c>
      <c r="C25" s="217" t="s">
        <v>36</v>
      </c>
      <c r="D25" s="138" t="str">
        <f>"["&amp;$A25&amp;"]"</f>
        <v>[7]</v>
      </c>
      <c r="E25" s="218">
        <f>MIN(M21,M22)</f>
        <v>0.29254408037328783</v>
      </c>
      <c r="F25" s="207"/>
      <c r="G25" s="107"/>
      <c r="H25" s="208"/>
      <c r="I25" s="216"/>
      <c r="J25" s="208"/>
      <c r="K25" s="207"/>
      <c r="L25" s="207"/>
      <c r="M25" s="207"/>
      <c r="N25" s="136"/>
    </row>
    <row r="26" spans="1:14" ht="6" customHeight="1" x14ac:dyDescent="0.35">
      <c r="C26" s="224"/>
      <c r="D26" s="151"/>
      <c r="E26" s="225"/>
      <c r="F26" s="210"/>
      <c r="G26" s="211"/>
      <c r="H26" s="212"/>
      <c r="I26" s="212"/>
      <c r="J26" s="212"/>
      <c r="K26" s="210"/>
      <c r="L26" s="210"/>
      <c r="M26" s="210"/>
      <c r="N26" s="136"/>
    </row>
    <row r="27" spans="1:14" ht="6" customHeight="1" thickBot="1" x14ac:dyDescent="0.4">
      <c r="C27" s="217"/>
      <c r="D27" s="138"/>
      <c r="E27" s="218"/>
      <c r="F27" s="207"/>
      <c r="G27" s="107"/>
      <c r="H27" s="208"/>
      <c r="I27" s="216"/>
      <c r="J27" s="208"/>
      <c r="K27" s="207"/>
      <c r="L27" s="207"/>
      <c r="M27" s="207"/>
      <c r="N27" s="136"/>
    </row>
    <row r="28" spans="1:14" ht="15" customHeight="1" thickBot="1" x14ac:dyDescent="0.4">
      <c r="A28" s="2">
        <f>MAX($A$14:$A27)+1</f>
        <v>8</v>
      </c>
      <c r="C28" s="217" t="s">
        <v>37</v>
      </c>
      <c r="D28" s="138" t="str">
        <f>"["&amp;$A28&amp;"]"</f>
        <v>[8]</v>
      </c>
      <c r="E28" s="226">
        <f>E25-E17</f>
        <v>0.20485466359245733</v>
      </c>
      <c r="F28" s="207"/>
      <c r="G28" s="107"/>
      <c r="H28" s="208"/>
      <c r="I28" s="216"/>
      <c r="J28" s="208"/>
      <c r="K28" s="207"/>
      <c r="L28" s="207"/>
      <c r="M28" s="207"/>
      <c r="N28" s="136"/>
    </row>
    <row r="29" spans="1:14" ht="6" customHeight="1" thickBot="1" x14ac:dyDescent="0.4">
      <c r="C29" s="198"/>
      <c r="D29" s="227"/>
      <c r="E29" s="198"/>
      <c r="F29" s="198"/>
      <c r="G29" s="228"/>
      <c r="H29" s="228"/>
      <c r="I29" s="228"/>
      <c r="J29" s="228"/>
      <c r="K29" s="228"/>
      <c r="L29" s="228"/>
      <c r="M29" s="198"/>
      <c r="N29" s="136"/>
    </row>
    <row r="30" spans="1:14" ht="6" customHeight="1" thickTop="1" x14ac:dyDescent="0.35"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</row>
    <row r="31" spans="1:14" ht="30" customHeight="1" x14ac:dyDescent="0.35">
      <c r="A31" s="17"/>
      <c r="B31" s="25">
        <v>100</v>
      </c>
      <c r="C31" s="234" t="s">
        <v>20</v>
      </c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136"/>
    </row>
    <row r="32" spans="1:14" x14ac:dyDescent="0.35">
      <c r="A32" s="25" t="s">
        <v>24</v>
      </c>
      <c r="B32" s="52">
        <f>1-E7</f>
        <v>0.94159999999999999</v>
      </c>
      <c r="C32" s="229" t="s">
        <v>7</v>
      </c>
      <c r="D32" s="229"/>
      <c r="E32" s="229"/>
      <c r="F32" s="229"/>
      <c r="G32" s="229"/>
      <c r="H32" s="229"/>
      <c r="I32" s="229"/>
      <c r="J32" s="229"/>
      <c r="K32" s="229"/>
      <c r="L32" s="229"/>
      <c r="M32" s="136"/>
      <c r="N32" s="136"/>
    </row>
    <row r="33" spans="1:14" x14ac:dyDescent="0.35">
      <c r="A33" s="25"/>
      <c r="B33" s="52"/>
      <c r="C33" s="229" t="str">
        <f>D7&amp;": Assumed discount rate for wireless carriers."</f>
        <v>[1]: Assumed discount rate for wireless carriers.</v>
      </c>
      <c r="D33" s="229"/>
      <c r="E33" s="229"/>
      <c r="F33" s="229"/>
      <c r="G33" s="229"/>
      <c r="H33" s="229"/>
      <c r="I33" s="229"/>
      <c r="J33" s="229"/>
      <c r="K33" s="229"/>
      <c r="L33" s="229"/>
      <c r="M33" s="136"/>
      <c r="N33" s="136"/>
    </row>
    <row r="34" spans="1:14" ht="30" customHeight="1" x14ac:dyDescent="0.35">
      <c r="A34" s="25"/>
      <c r="B34" s="26"/>
      <c r="C34" s="234" t="str">
        <f>E10&amp;": Diversion ratios are constructed based on annual gross additions.  "&amp;"Ratio for Sprint post-merger is the sum of the diversion ratios from AT&amp;T to both T-Mobile and Sprint.  Diversion ratio for AT&amp;T post-merger is the average of the diversion ratios to AT&amp;T from Sprint and T-Mobile."</f>
        <v>[A]: Diversion ratios are constructed based on annual gross additions.  Ratio for Sprint post-merger is the sum of the diversion ratios from AT&amp;T to both T-Mobile and Sprint.  Diversion ratio for AT&amp;T post-merger is the average of the diversion ratios to AT&amp;T from Sprint and T-Mobile.</v>
      </c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136"/>
    </row>
    <row r="35" spans="1:14" x14ac:dyDescent="0.35">
      <c r="A35" s="25"/>
      <c r="B35" s="25"/>
      <c r="C35" s="229" t="str">
        <f>F10&amp;"-"&amp;G10&amp;": From FCC Mobile Wireless, 20th Report."</f>
        <v>[B]-[C]: From FCC Mobile Wireless, 20th Report.</v>
      </c>
      <c r="D35" s="229"/>
      <c r="E35" s="229"/>
      <c r="F35" s="229"/>
      <c r="G35" s="230"/>
      <c r="H35" s="230"/>
      <c r="I35" s="230"/>
      <c r="J35" s="230"/>
      <c r="K35" s="230"/>
      <c r="L35" s="230"/>
      <c r="M35" s="136"/>
      <c r="N35" s="136"/>
    </row>
    <row r="36" spans="1:14" x14ac:dyDescent="0.35">
      <c r="A36" s="25"/>
      <c r="B36" s="25"/>
      <c r="C36" s="229" t="str">
        <f>H10&amp;": "&amp;"Calculated using EBITDA margins reported in the 20th FCC Mobile Wireless Report and the Learner Index."</f>
        <v>[D]: Calculated using EBITDA margins reported in the 20th FCC Mobile Wireless Report and the Learner Index.</v>
      </c>
      <c r="D36" s="229"/>
      <c r="E36" s="229"/>
      <c r="F36" s="229"/>
      <c r="G36" s="230"/>
      <c r="H36" s="230"/>
      <c r="I36" s="230"/>
      <c r="J36" s="230"/>
      <c r="K36" s="230"/>
      <c r="L36" s="230"/>
      <c r="M36" s="136"/>
      <c r="N36" s="136"/>
    </row>
    <row r="37" spans="1:14" x14ac:dyDescent="0.35">
      <c r="A37" s="25"/>
      <c r="B37" s="25"/>
      <c r="C37" s="127" t="s">
        <v>118</v>
      </c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4" x14ac:dyDescent="0.35">
      <c r="A38" s="25"/>
      <c r="B38" s="25"/>
      <c r="C38" s="127" t="s">
        <v>115</v>
      </c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x14ac:dyDescent="0.35">
      <c r="C39" s="127" t="s">
        <v>116</v>
      </c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4" x14ac:dyDescent="0.35">
      <c r="C40" s="127" t="s">
        <v>117</v>
      </c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x14ac:dyDescent="0.35">
      <c r="C41" s="127" t="s">
        <v>119</v>
      </c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</row>
  </sheetData>
  <mergeCells count="2">
    <mergeCell ref="C31:M31"/>
    <mergeCell ref="C34:M34"/>
  </mergeCells>
  <printOptions horizontalCentered="1"/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showGridLines="0" workbookViewId="0">
      <selection activeCell="Q37" sqref="Q37"/>
    </sheetView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zoomScaleNormal="100" workbookViewId="0"/>
  </sheetViews>
  <sheetFormatPr defaultRowHeight="14.5" x14ac:dyDescent="0.35"/>
  <cols>
    <col min="1" max="1" width="5" bestFit="1" customWidth="1"/>
    <col min="2" max="2" width="78.26953125" customWidth="1"/>
  </cols>
  <sheetData>
    <row r="2" spans="1:2" ht="18" x14ac:dyDescent="0.35">
      <c r="A2" s="4" t="s">
        <v>45</v>
      </c>
      <c r="B2" s="3"/>
    </row>
    <row r="3" spans="1:2" s="11" customFormat="1" ht="6" customHeight="1" thickBot="1" x14ac:dyDescent="0.35">
      <c r="A3" s="6"/>
      <c r="B3" s="6"/>
    </row>
    <row r="4" spans="1:2" ht="6" customHeight="1" thickTop="1" x14ac:dyDescent="0.3"/>
    <row r="5" spans="1:2" ht="33" customHeight="1" x14ac:dyDescent="0.3">
      <c r="A5" s="21">
        <v>1</v>
      </c>
      <c r="B5" s="5" t="s">
        <v>21</v>
      </c>
    </row>
    <row r="6" spans="1:2" ht="33" customHeight="1" x14ac:dyDescent="0.3">
      <c r="A6" s="21">
        <f>A5+1</f>
        <v>2</v>
      </c>
      <c r="B6" s="5" t="s">
        <v>22</v>
      </c>
    </row>
    <row r="7" spans="1:2" ht="63" customHeight="1" x14ac:dyDescent="0.3">
      <c r="A7" s="21">
        <f>A6+1</f>
        <v>3</v>
      </c>
      <c r="B7" s="5" t="s">
        <v>54</v>
      </c>
    </row>
    <row r="8" spans="1:2" ht="18" customHeight="1" x14ac:dyDescent="0.3">
      <c r="A8" s="21">
        <f>A7+1</f>
        <v>4</v>
      </c>
      <c r="B8" s="5" t="s">
        <v>46</v>
      </c>
    </row>
    <row r="9" spans="1:2" ht="15.75" customHeight="1" x14ac:dyDescent="0.3">
      <c r="A9" s="21">
        <f t="shared" ref="A9:A19" si="0">A8+1</f>
        <v>5</v>
      </c>
      <c r="B9" s="5" t="s">
        <v>52</v>
      </c>
    </row>
    <row r="10" spans="1:2" ht="31.5" customHeight="1" x14ac:dyDescent="0.3">
      <c r="A10" s="21">
        <f t="shared" si="0"/>
        <v>6</v>
      </c>
      <c r="B10" s="5" t="s">
        <v>53</v>
      </c>
    </row>
    <row r="11" spans="1:2" ht="30.75" customHeight="1" x14ac:dyDescent="0.3">
      <c r="A11" s="21">
        <f t="shared" si="0"/>
        <v>7</v>
      </c>
      <c r="B11" s="5" t="s">
        <v>47</v>
      </c>
    </row>
    <row r="12" spans="1:2" ht="15.75" customHeight="1" x14ac:dyDescent="0.35">
      <c r="A12" s="21">
        <f t="shared" si="0"/>
        <v>8</v>
      </c>
      <c r="B12" s="5" t="s">
        <v>48</v>
      </c>
    </row>
    <row r="13" spans="1:2" ht="33" customHeight="1" x14ac:dyDescent="0.35">
      <c r="A13" s="21">
        <f t="shared" si="0"/>
        <v>9</v>
      </c>
      <c r="B13" s="5" t="s">
        <v>57</v>
      </c>
    </row>
    <row r="14" spans="1:2" ht="32.25" customHeight="1" x14ac:dyDescent="0.35">
      <c r="A14" s="21">
        <f t="shared" si="0"/>
        <v>10</v>
      </c>
      <c r="B14" s="5" t="s">
        <v>49</v>
      </c>
    </row>
    <row r="15" spans="1:2" ht="29" x14ac:dyDescent="0.35">
      <c r="A15" s="21">
        <f t="shared" si="0"/>
        <v>11</v>
      </c>
      <c r="B15" s="5" t="s">
        <v>50</v>
      </c>
    </row>
    <row r="16" spans="1:2" ht="29" x14ac:dyDescent="0.35">
      <c r="A16" s="21">
        <f t="shared" si="0"/>
        <v>12</v>
      </c>
      <c r="B16" s="5" t="s">
        <v>56</v>
      </c>
    </row>
    <row r="17" spans="1:2" ht="43.5" x14ac:dyDescent="0.35">
      <c r="A17" s="21">
        <f t="shared" si="0"/>
        <v>13</v>
      </c>
      <c r="B17" s="5" t="s">
        <v>51</v>
      </c>
    </row>
    <row r="18" spans="1:2" ht="29" x14ac:dyDescent="0.35">
      <c r="A18" s="21">
        <f t="shared" si="0"/>
        <v>14</v>
      </c>
      <c r="B18" s="5" t="s">
        <v>55</v>
      </c>
    </row>
    <row r="19" spans="1:2" ht="29" x14ac:dyDescent="0.35">
      <c r="A19" s="21">
        <f t="shared" si="0"/>
        <v>15</v>
      </c>
      <c r="B19" s="5" t="s">
        <v>58</v>
      </c>
    </row>
    <row r="20" spans="1:2" ht="6" customHeight="1" thickBot="1" x14ac:dyDescent="0.4">
      <c r="A20" s="22"/>
      <c r="B20" s="23"/>
    </row>
    <row r="21" spans="1:2" ht="6" customHeight="1" thickTop="1" x14ac:dyDescent="0.35">
      <c r="A21" s="21"/>
      <c r="B21" s="5"/>
    </row>
    <row r="22" spans="1:2" x14ac:dyDescent="0.35">
      <c r="A22" s="21"/>
      <c r="B22" s="5"/>
    </row>
    <row r="23" spans="1:2" x14ac:dyDescent="0.35">
      <c r="A23" s="20"/>
      <c r="B23" s="5"/>
    </row>
    <row r="24" spans="1:2" x14ac:dyDescent="0.35">
      <c r="B24" s="5"/>
    </row>
    <row r="25" spans="1:2" x14ac:dyDescent="0.35">
      <c r="B25" s="5"/>
    </row>
  </sheetData>
  <printOptions horizontalCentered="1"/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showGridLines="0" workbookViewId="0">
      <selection activeCell="H26" sqref="H26"/>
    </sheetView>
  </sheetViews>
  <sheetFormatPr defaultRowHeight="14.5" x14ac:dyDescent="0.3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Final Analysis &gt;&gt;&gt;</vt:lpstr>
      <vt:lpstr>Table 27</vt:lpstr>
      <vt:lpstr>CPPI - TMUS-Verizon</vt:lpstr>
      <vt:lpstr>CPPI - Sprint-Verizon</vt:lpstr>
      <vt:lpstr>CPPI - TMUS-AT&amp;T</vt:lpstr>
      <vt:lpstr>CPPI - Sprint-AT&amp;T</vt:lpstr>
      <vt:lpstr>Key Assumptions &gt;&gt;&gt;</vt:lpstr>
      <vt:lpstr>CPPI Assumptions</vt:lpstr>
      <vt:lpstr>Intermediate Analysis &gt;&gt;&gt;</vt:lpstr>
      <vt:lpstr>Margins and Elasticities</vt:lpstr>
      <vt:lpstr>Div. Ratios Summary</vt:lpstr>
      <vt:lpstr>Raw Data &gt;&gt;</vt:lpstr>
      <vt:lpstr>Subs</vt:lpstr>
      <vt:lpstr>Diversion Ratios</vt:lpstr>
      <vt:lpstr>'CPPI - Sprint-AT&amp;T'!Print_Area</vt:lpstr>
      <vt:lpstr>'CPPI - Sprint-Verizon'!Print_Area</vt:lpstr>
      <vt:lpstr>'CPPI - TMUS-AT&amp;T'!Print_Area</vt:lpstr>
      <vt:lpstr>'CPPI - TMUS-Verizon'!Print_Area</vt:lpstr>
      <vt:lpstr>'CPPI Assumptions'!Print_Area</vt:lpstr>
      <vt:lpstr>'Div. Ratios Summary'!Print_Area</vt:lpstr>
      <vt:lpstr>'Margins and Elasticities'!Print_Area</vt:lpstr>
      <vt:lpstr>'Table 27'!Print_Area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2018-09-26T15:07:06Z</dcterms:modified>
</cp:coreProperties>
</file>