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80" yWindow="270" windowWidth="19130" windowHeight="7280" tabRatio="648"/>
  </bookViews>
  <sheets>
    <sheet name="Table 7" sheetId="32" r:id="rId1"/>
    <sheet name="Table 8" sheetId="6" r:id="rId2"/>
    <sheet name="Table 9" sheetId="11" r:id="rId3"/>
    <sheet name="Table 13" sheetId="13" r:id="rId4"/>
    <sheet name="Table 14" sheetId="12" r:id="rId5"/>
    <sheet name="Table 16" sheetId="31" r:id="rId6"/>
    <sheet name="Table 17" sheetId="39" r:id="rId7"/>
    <sheet name="Intermediate &gt;" sheetId="8" r:id="rId8"/>
    <sheet name="connections" sheetId="37" r:id="rId9"/>
    <sheet name="Verizon Wholesale Calculations" sheetId="40" r:id="rId10"/>
    <sheet name="Retail" sheetId="1" r:id="rId11"/>
    <sheet name="Wholesale" sheetId="3" r:id="rId12"/>
    <sheet name="Raw &gt;" sheetId="7" r:id="rId13"/>
    <sheet name="AT&amp;T Annual Reports" sheetId="10" r:id="rId14"/>
    <sheet name="Verizon Annual Reports" sheetId="14" r:id="rId15"/>
    <sheet name="TMobile Annual Reports" sheetId="16" r:id="rId16"/>
    <sheet name="Sprint Q4 10-Qs" sheetId="15" r:id="rId17"/>
    <sheet name="US Cellular Prepaid ARPU Calc" sheetId="2" r:id="rId18"/>
    <sheet name="US Cellular Q4 Annual Reports" sheetId="18" r:id="rId19"/>
    <sheet name="Tracfone Q4 Financial Reports" sheetId="17" r:id="rId20"/>
  </sheet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AMES_REVISION_DATE_" hidden="1">"01/01/0001 00:00:00"</definedName>
    <definedName name="IQ_NTM">6000</definedName>
    <definedName name="IQ_TODAY" hidden="1">0</definedName>
    <definedName name="IQ_WEEK">50000</definedName>
    <definedName name="IQ_YTD">3000</definedName>
    <definedName name="IQ_YTDMONTH" hidden="1">130000</definedName>
    <definedName name="_xlnm.Print_Area" localSheetId="13">'AT&amp;T Annual Reports'!$A$1:$S$28</definedName>
    <definedName name="_xlnm.Print_Area" localSheetId="8">connections!$B$1:$F$51</definedName>
    <definedName name="_xlnm.Print_Area" localSheetId="10">Retail!$C$1:$BB$54</definedName>
    <definedName name="_xlnm.Print_Area" localSheetId="16">'Sprint Q4 10-Qs'!$B$1:$H$12</definedName>
    <definedName name="_xlnm.Print_Area" localSheetId="3">'Table 13'!$B$2:$F$29</definedName>
    <definedName name="_xlnm.Print_Area" localSheetId="0">'Table 7'!$C$2:$H$28</definedName>
    <definedName name="_xlnm.Print_Area" localSheetId="2">'Table 9'!$B$1:$G$16</definedName>
    <definedName name="_xlnm.Print_Area" localSheetId="17">'US Cellular Prepaid ARPU Calc'!$B$1:$V$15</definedName>
    <definedName name="_xlnm.Print_Area" localSheetId="11">Wholesale!$C$3:$R$35</definedName>
    <definedName name="_xlnm.Print_Titles" localSheetId="17">'US Cellular Prepaid ARPU Calc'!$B:$B</definedName>
  </definedNames>
  <calcPr calcId="145621" calcMode="autoNoTable"/>
</workbook>
</file>

<file path=xl/calcChain.xml><?xml version="1.0" encoding="utf-8"?>
<calcChain xmlns="http://schemas.openxmlformats.org/spreadsheetml/2006/main">
  <c r="U17" i="1" l="1"/>
  <c r="C11" i="12"/>
  <c r="C31" i="3"/>
  <c r="C24" i="3"/>
  <c r="M16" i="3"/>
  <c r="F37" i="37" s="1"/>
  <c r="L16" i="3"/>
  <c r="M15" i="3"/>
  <c r="L15" i="3"/>
  <c r="E36" i="37" s="1"/>
  <c r="F16" i="3"/>
  <c r="J16" i="3" s="1"/>
  <c r="C37" i="37" s="1"/>
  <c r="G16" i="3"/>
  <c r="K16" i="3" s="1"/>
  <c r="D37" i="37" s="1"/>
  <c r="F15" i="3"/>
  <c r="J15" i="3" s="1"/>
  <c r="C36" i="37" s="1"/>
  <c r="G15" i="3"/>
  <c r="K15" i="3" s="1"/>
  <c r="D36" i="37" s="1"/>
  <c r="C33" i="3"/>
  <c r="C26" i="3"/>
  <c r="M12" i="3"/>
  <c r="L12" i="3"/>
  <c r="C35" i="3"/>
  <c r="C34" i="3"/>
  <c r="C28" i="3"/>
  <c r="C27" i="3"/>
  <c r="Q16" i="3"/>
  <c r="Q15" i="3"/>
  <c r="B23" i="40"/>
  <c r="B22" i="40"/>
  <c r="B21" i="40"/>
  <c r="B20" i="40"/>
  <c r="B19" i="40"/>
  <c r="E12" i="40"/>
  <c r="F12" i="40"/>
  <c r="G12" i="40"/>
  <c r="H12" i="40"/>
  <c r="H9" i="40"/>
  <c r="G9" i="40"/>
  <c r="F9" i="40"/>
  <c r="E9" i="40"/>
  <c r="O15" i="3" l="1"/>
  <c r="O16" i="3"/>
  <c r="C10" i="31" s="1"/>
  <c r="E37" i="37"/>
  <c r="F36" i="37"/>
  <c r="P9" i="3"/>
  <c r="P2" i="3"/>
  <c r="I14" i="39" l="1"/>
  <c r="F34" i="37" l="1"/>
  <c r="D34" i="37"/>
  <c r="E34" i="37"/>
  <c r="C34" i="37"/>
  <c r="E10" i="40" l="1"/>
  <c r="E14" i="40"/>
  <c r="E15" i="40" s="1"/>
  <c r="F10" i="40"/>
  <c r="F14" i="40"/>
  <c r="F15" i="40" s="1"/>
  <c r="G10" i="40"/>
  <c r="G14" i="40"/>
  <c r="G15" i="40" s="1"/>
  <c r="H10" i="40"/>
  <c r="H14" i="40"/>
  <c r="H15" i="40" s="1"/>
  <c r="I11" i="39"/>
  <c r="C9" i="13"/>
  <c r="D9" i="13"/>
  <c r="E9" i="13"/>
  <c r="F9" i="13"/>
  <c r="C10" i="13"/>
  <c r="D10" i="13"/>
  <c r="E10" i="13"/>
  <c r="F10" i="13"/>
  <c r="C11" i="13"/>
  <c r="D11" i="13"/>
  <c r="E11" i="13"/>
  <c r="F11" i="13"/>
  <c r="C13" i="13"/>
  <c r="D13" i="13"/>
  <c r="E13" i="13"/>
  <c r="F13" i="13"/>
  <c r="D8" i="13"/>
  <c r="E8" i="13"/>
  <c r="F8" i="13"/>
  <c r="C8" i="13"/>
  <c r="C9" i="6"/>
  <c r="D9" i="6"/>
  <c r="E9" i="6"/>
  <c r="F9" i="6"/>
  <c r="F12" i="39" s="1"/>
  <c r="C10" i="6"/>
  <c r="D10" i="6"/>
  <c r="E10" i="6"/>
  <c r="F10" i="6"/>
  <c r="F13" i="39" s="1"/>
  <c r="C11" i="6"/>
  <c r="D11" i="6"/>
  <c r="E11" i="6"/>
  <c r="F11" i="6"/>
  <c r="F14" i="39" s="1"/>
  <c r="D8" i="6"/>
  <c r="E8" i="6"/>
  <c r="F8" i="6"/>
  <c r="F11" i="39" s="1"/>
  <c r="C8" i="6"/>
  <c r="C12" i="39"/>
  <c r="C13" i="39"/>
  <c r="C14" i="39"/>
  <c r="C11" i="39"/>
  <c r="E44" i="37"/>
  <c r="F44" i="37"/>
  <c r="D41" i="37"/>
  <c r="E41" i="37"/>
  <c r="F41" i="37"/>
  <c r="C41" i="37"/>
  <c r="D1" i="31"/>
  <c r="F18" i="39" l="1"/>
  <c r="C18" i="39"/>
  <c r="S11" i="2"/>
  <c r="N11" i="2"/>
  <c r="I11" i="2"/>
  <c r="D11" i="2"/>
  <c r="AP18" i="1"/>
  <c r="AQ18" i="1"/>
  <c r="AR18" i="1"/>
  <c r="AO18" i="1"/>
  <c r="G22" i="10" l="1"/>
  <c r="AO15" i="1" s="1"/>
  <c r="K22" i="10"/>
  <c r="AP15" i="1" s="1"/>
  <c r="S22" i="10"/>
  <c r="AR15" i="1" s="1"/>
  <c r="O22" i="10"/>
  <c r="AQ15" i="1" s="1"/>
  <c r="D8" i="11" l="1"/>
  <c r="E8" i="11"/>
  <c r="F8" i="11"/>
  <c r="G8" i="11"/>
  <c r="AO14" i="1"/>
  <c r="AP14" i="1"/>
  <c r="AQ14" i="1"/>
  <c r="AR14" i="1"/>
  <c r="E43" i="37"/>
  <c r="F35" i="37" l="1"/>
  <c r="D35" i="37"/>
  <c r="D42" i="37" s="1"/>
  <c r="I12" i="39" l="1"/>
  <c r="F42" i="37"/>
  <c r="E35" i="37"/>
  <c r="E42" i="37" s="1"/>
  <c r="E45" i="37" s="1"/>
  <c r="C35" i="37" l="1"/>
  <c r="C42" i="37" s="1"/>
  <c r="F5" i="32" l="1"/>
  <c r="G5" i="32" l="1"/>
  <c r="G10" i="32" l="1"/>
  <c r="H5" i="32"/>
  <c r="H10" i="15" l="1"/>
  <c r="C9" i="31" s="1"/>
  <c r="G14" i="16"/>
  <c r="B9" i="18" l="1"/>
  <c r="B8" i="18"/>
  <c r="AA18" i="1" s="1"/>
  <c r="D20" i="37" s="1"/>
  <c r="G19" i="1"/>
  <c r="C49" i="1"/>
  <c r="D21" i="37" l="1"/>
  <c r="F8" i="32" s="1"/>
  <c r="D12" i="6"/>
  <c r="Q19" i="1"/>
  <c r="R19" i="1"/>
  <c r="G18" i="1"/>
  <c r="D28" i="37" s="1"/>
  <c r="D12" i="13" s="1"/>
  <c r="P19" i="1"/>
  <c r="F19" i="1"/>
  <c r="K19" i="1" s="1"/>
  <c r="S19" i="1"/>
  <c r="Z18" i="1"/>
  <c r="C20" i="37" s="1"/>
  <c r="F18" i="1"/>
  <c r="C21" i="37" l="1"/>
  <c r="E8" i="32" s="1"/>
  <c r="F14" i="32" s="1"/>
  <c r="C12" i="6"/>
  <c r="D12" i="37"/>
  <c r="D13" i="37" s="1"/>
  <c r="C28" i="37"/>
  <c r="C12" i="13" s="1"/>
  <c r="C12" i="37" l="1"/>
  <c r="C13" i="37" s="1"/>
  <c r="D43" i="37"/>
  <c r="C43" i="37"/>
  <c r="C11" i="31"/>
  <c r="AR16" i="1"/>
  <c r="AF17" i="1"/>
  <c r="R17" i="1"/>
  <c r="AE17" i="1"/>
  <c r="L17" i="1"/>
  <c r="M17" i="1"/>
  <c r="Q17" i="1"/>
  <c r="S17" i="1"/>
  <c r="AK17" i="1"/>
  <c r="AL17" i="1"/>
  <c r="N17" i="1"/>
  <c r="AM17" i="1"/>
  <c r="AH17" i="1"/>
  <c r="K17" i="1"/>
  <c r="AJ17" i="1"/>
  <c r="AG17" i="1"/>
  <c r="P17" i="1"/>
  <c r="AV16" i="1"/>
  <c r="AS16" i="1"/>
  <c r="AO16" i="1"/>
  <c r="AY16" i="1"/>
  <c r="AQ16" i="1"/>
  <c r="AP16" i="1"/>
  <c r="E38" i="37" l="1"/>
  <c r="AS15" i="1"/>
  <c r="AY15" i="1"/>
  <c r="AV15" i="1"/>
  <c r="U19" i="1"/>
  <c r="C13" i="12" s="1"/>
  <c r="L19" i="1"/>
  <c r="V19" i="1" s="1"/>
  <c r="D13" i="12" s="1"/>
  <c r="D5" i="13"/>
  <c r="E5" i="13" s="1"/>
  <c r="D10" i="12"/>
  <c r="E10" i="12"/>
  <c r="F10" i="12"/>
  <c r="D6" i="12"/>
  <c r="E6" i="12"/>
  <c r="F6" i="12"/>
  <c r="E30" i="37" l="1"/>
  <c r="F5" i="13"/>
  <c r="E10" i="11"/>
  <c r="F10" i="11"/>
  <c r="G10" i="11"/>
  <c r="D10" i="11"/>
  <c r="F6" i="11"/>
  <c r="G6" i="11" s="1"/>
  <c r="E6" i="11"/>
  <c r="E5" i="6"/>
  <c r="F5" i="6" s="1"/>
  <c r="D5" i="6"/>
  <c r="E14" i="13" l="1"/>
  <c r="V18" i="1"/>
  <c r="D12" i="12" s="1"/>
  <c r="U18" i="1"/>
  <c r="C12" i="12" s="1"/>
  <c r="AP17" i="1"/>
  <c r="E11" i="11" s="1"/>
  <c r="AO17" i="1"/>
  <c r="D11" i="11" s="1"/>
  <c r="V17" i="1"/>
  <c r="D11" i="12" s="1"/>
  <c r="D13" i="6" l="1"/>
  <c r="D19" i="6" s="1"/>
  <c r="C13" i="6"/>
  <c r="C18" i="6" s="1"/>
  <c r="E12" i="11"/>
  <c r="D12" i="11"/>
  <c r="D20" i="6" l="1"/>
  <c r="D21" i="6"/>
  <c r="D18" i="6"/>
  <c r="C17" i="6"/>
  <c r="C21" i="6"/>
  <c r="C20" i="6"/>
  <c r="E9" i="11"/>
  <c r="D9" i="11"/>
  <c r="C16" i="6"/>
  <c r="C19" i="6"/>
  <c r="D16" i="6"/>
  <c r="D17" i="6"/>
  <c r="H12" i="3"/>
  <c r="R9" i="3"/>
  <c r="R2" i="3"/>
  <c r="O2" i="3"/>
  <c r="C14" i="1"/>
  <c r="C24" i="1" s="1"/>
  <c r="J8" i="1"/>
  <c r="O8" i="1"/>
  <c r="T8" i="1"/>
  <c r="Y8" i="1"/>
  <c r="AD8" i="1"/>
  <c r="AI8" i="1"/>
  <c r="AN8" i="1"/>
  <c r="AS8" i="1"/>
  <c r="AV8" i="1"/>
  <c r="AY8" i="1"/>
  <c r="F8" i="1"/>
  <c r="C50" i="1" s="1"/>
  <c r="Q2" i="3" l="1"/>
  <c r="D10" i="31"/>
  <c r="E10" i="31" s="1"/>
  <c r="D9" i="31"/>
  <c r="J1" i="1"/>
  <c r="N1" i="1"/>
  <c r="O1" i="1"/>
  <c r="S1" i="1"/>
  <c r="T1" i="1"/>
  <c r="X1" i="1"/>
  <c r="Y1" i="1"/>
  <c r="AC1" i="1"/>
  <c r="AD1" i="1"/>
  <c r="AH1" i="1"/>
  <c r="AI1" i="1"/>
  <c r="AM1" i="1"/>
  <c r="AN1" i="1"/>
  <c r="AR1" i="1"/>
  <c r="AS1" i="1"/>
  <c r="AU1" i="1"/>
  <c r="AV1" i="1"/>
  <c r="AX1" i="1"/>
  <c r="AY1" i="1"/>
  <c r="BA1" i="1"/>
  <c r="I1" i="1"/>
  <c r="A15" i="1"/>
  <c r="E9" i="31" l="1"/>
  <c r="D11" i="31"/>
  <c r="E11" i="31" s="1"/>
  <c r="I13" i="39"/>
  <c r="I18" i="39" s="1"/>
  <c r="F43" i="37"/>
  <c r="F45" i="37" s="1"/>
  <c r="H10" i="32" s="1"/>
  <c r="H16" i="32" s="1"/>
  <c r="F38" i="37"/>
  <c r="F30" i="37" s="1"/>
  <c r="F14" i="13" s="1"/>
  <c r="D38" i="37"/>
  <c r="D44" i="37"/>
  <c r="D45" i="37" s="1"/>
  <c r="F10" i="32" s="1"/>
  <c r="C44" i="37"/>
  <c r="C45" i="37" s="1"/>
  <c r="E10" i="32" s="1"/>
  <c r="C38" i="37"/>
  <c r="C30" i="37" s="1"/>
  <c r="C23" i="3"/>
  <c r="C15" i="1"/>
  <c r="C28" i="1" s="1"/>
  <c r="M1" i="1"/>
  <c r="K8" i="1" s="1"/>
  <c r="C51" i="1" s="1"/>
  <c r="A16" i="1"/>
  <c r="F9" i="11"/>
  <c r="AR17" i="1"/>
  <c r="G11" i="11" s="1"/>
  <c r="AQ17" i="1"/>
  <c r="F11" i="11" s="1"/>
  <c r="X17" i="1"/>
  <c r="F11" i="12" s="1"/>
  <c r="W17" i="1"/>
  <c r="E11" i="12" s="1"/>
  <c r="D30" i="37" l="1"/>
  <c r="G16" i="32"/>
  <c r="F16" i="32"/>
  <c r="C31" i="37"/>
  <c r="C14" i="13"/>
  <c r="C15" i="13" s="1"/>
  <c r="G9" i="11"/>
  <c r="C30" i="3"/>
  <c r="A17" i="1"/>
  <c r="A18" i="1" s="1"/>
  <c r="C16" i="1"/>
  <c r="A17" i="3"/>
  <c r="C17" i="3" s="1"/>
  <c r="R1" i="1"/>
  <c r="X18" i="1"/>
  <c r="F12" i="12" s="1"/>
  <c r="G12" i="11"/>
  <c r="W18" i="1"/>
  <c r="E12" i="12" s="1"/>
  <c r="F12" i="11"/>
  <c r="C24" i="13" l="1"/>
  <c r="C20" i="13"/>
  <c r="C21" i="13"/>
  <c r="C19" i="13"/>
  <c r="C22" i="13"/>
  <c r="C23" i="13"/>
  <c r="C18" i="13"/>
  <c r="E9" i="32"/>
  <c r="D31" i="37"/>
  <c r="D14" i="13"/>
  <c r="D15" i="13" s="1"/>
  <c r="C31" i="1"/>
  <c r="C18" i="1"/>
  <c r="C17" i="1"/>
  <c r="W1" i="1"/>
  <c r="U8" i="1" s="1"/>
  <c r="P8" i="1"/>
  <c r="BA17" i="1"/>
  <c r="AZ17" i="1"/>
  <c r="C25" i="13" l="1"/>
  <c r="D24" i="13"/>
  <c r="D18" i="13"/>
  <c r="D22" i="13"/>
  <c r="D21" i="13"/>
  <c r="D20" i="13"/>
  <c r="D23" i="13"/>
  <c r="D19" i="13"/>
  <c r="E11" i="32"/>
  <c r="F9" i="32"/>
  <c r="C52" i="1"/>
  <c r="C32" i="1"/>
  <c r="C53" i="1"/>
  <c r="C35" i="1"/>
  <c r="C36" i="1"/>
  <c r="C38" i="1"/>
  <c r="C37" i="1"/>
  <c r="C44" i="1"/>
  <c r="C43" i="1"/>
  <c r="C45" i="1"/>
  <c r="AB1" i="1"/>
  <c r="Z8" i="1" s="1"/>
  <c r="C46" i="1" s="1"/>
  <c r="BA11" i="1"/>
  <c r="AZ11" i="1"/>
  <c r="AX11" i="1"/>
  <c r="AW11" i="1"/>
  <c r="AU11" i="1"/>
  <c r="AT11" i="1"/>
  <c r="AC11" i="1"/>
  <c r="AB11" i="1"/>
  <c r="I11" i="1"/>
  <c r="H11" i="1"/>
  <c r="E22" i="32" l="1"/>
  <c r="E20" i="32"/>
  <c r="F11" i="32"/>
  <c r="F21" i="32" s="1"/>
  <c r="F15" i="32"/>
  <c r="D25" i="13"/>
  <c r="E21" i="32"/>
  <c r="AW16" i="1"/>
  <c r="AW15" i="1"/>
  <c r="AX16" i="1"/>
  <c r="AX15" i="1"/>
  <c r="I19" i="1"/>
  <c r="I18" i="1"/>
  <c r="BA16" i="1"/>
  <c r="BA15" i="1"/>
  <c r="AT16" i="1"/>
  <c r="AT15" i="1"/>
  <c r="AU16" i="1"/>
  <c r="AU15" i="1"/>
  <c r="H18" i="1"/>
  <c r="H19" i="1"/>
  <c r="M19" i="1" s="1"/>
  <c r="W19" i="1" s="1"/>
  <c r="E13" i="12" s="1"/>
  <c r="AZ16" i="1"/>
  <c r="AZ15" i="1"/>
  <c r="AB18" i="1"/>
  <c r="AC18" i="1"/>
  <c r="AG1" i="1"/>
  <c r="AE8" i="1" s="1"/>
  <c r="F17" i="32" l="1"/>
  <c r="F20" i="32"/>
  <c r="F22" i="32"/>
  <c r="E23" i="32"/>
  <c r="N19" i="1"/>
  <c r="X19" i="1" s="1"/>
  <c r="F13" i="12" s="1"/>
  <c r="E20" i="37"/>
  <c r="H17" i="3"/>
  <c r="AT18" i="1"/>
  <c r="F28" i="37"/>
  <c r="E28" i="37"/>
  <c r="F20" i="37"/>
  <c r="AU18" i="1"/>
  <c r="C39" i="1"/>
  <c r="AL1" i="1"/>
  <c r="AQ1" i="1" s="1"/>
  <c r="F23" i="32" l="1"/>
  <c r="I15" i="39"/>
  <c r="F12" i="13"/>
  <c r="F31" i="37"/>
  <c r="F12" i="37"/>
  <c r="F21" i="37"/>
  <c r="H8" i="32" s="1"/>
  <c r="F12" i="6"/>
  <c r="F15" i="39" s="1"/>
  <c r="E12" i="13"/>
  <c r="E31" i="37"/>
  <c r="E12" i="6"/>
  <c r="E12" i="37"/>
  <c r="E13" i="37" s="1"/>
  <c r="E21" i="37"/>
  <c r="G8" i="32" s="1"/>
  <c r="AT1" i="1"/>
  <c r="AT8" i="1" s="1"/>
  <c r="AJ8" i="1"/>
  <c r="AO8" i="1"/>
  <c r="C41" i="1" s="1"/>
  <c r="E15" i="13" l="1"/>
  <c r="E22" i="13" s="1"/>
  <c r="F16" i="39"/>
  <c r="G15" i="39" s="1"/>
  <c r="H14" i="32"/>
  <c r="G9" i="32"/>
  <c r="C15" i="39"/>
  <c r="C16" i="39" s="1"/>
  <c r="F13" i="37"/>
  <c r="G14" i="32"/>
  <c r="H9" i="32"/>
  <c r="H11" i="32" s="1"/>
  <c r="F15" i="13"/>
  <c r="I16" i="39"/>
  <c r="J15" i="39" s="1"/>
  <c r="C40" i="1"/>
  <c r="C47" i="1"/>
  <c r="AW1" i="1"/>
  <c r="AW8" i="1" s="1"/>
  <c r="C25" i="1"/>
  <c r="C29" i="1"/>
  <c r="C33" i="1"/>
  <c r="H21" i="32" l="1"/>
  <c r="H22" i="32"/>
  <c r="H20" i="32"/>
  <c r="G11" i="32"/>
  <c r="H17" i="32" s="1"/>
  <c r="G15" i="32"/>
  <c r="F24" i="13"/>
  <c r="F23" i="13"/>
  <c r="F18" i="13"/>
  <c r="F21" i="13"/>
  <c r="F19" i="13"/>
  <c r="F20" i="13"/>
  <c r="G11" i="39"/>
  <c r="G12" i="39"/>
  <c r="G14" i="39"/>
  <c r="G13" i="39"/>
  <c r="J13" i="39"/>
  <c r="J14" i="39"/>
  <c r="J12" i="39"/>
  <c r="J11" i="39"/>
  <c r="D15" i="39"/>
  <c r="D11" i="39"/>
  <c r="D13" i="39"/>
  <c r="D12" i="39"/>
  <c r="D14" i="39"/>
  <c r="H15" i="32"/>
  <c r="F22" i="13"/>
  <c r="E24" i="13"/>
  <c r="E20" i="13"/>
  <c r="E23" i="13"/>
  <c r="E19" i="13"/>
  <c r="E18" i="13"/>
  <c r="E21" i="13"/>
  <c r="AZ1" i="1"/>
  <c r="AZ8" i="1" s="1"/>
  <c r="H23" i="32" l="1"/>
  <c r="G21" i="32"/>
  <c r="J18" i="39"/>
  <c r="J16" i="39"/>
  <c r="I19" i="39"/>
  <c r="C21" i="39"/>
  <c r="D18" i="39"/>
  <c r="C19" i="39"/>
  <c r="C20" i="39" s="1"/>
  <c r="D16" i="39"/>
  <c r="G16" i="39"/>
  <c r="F19" i="39"/>
  <c r="F25" i="13"/>
  <c r="G22" i="32"/>
  <c r="G17" i="32"/>
  <c r="G20" i="32"/>
  <c r="I21" i="39"/>
  <c r="E25" i="13"/>
  <c r="F21" i="39"/>
  <c r="G18" i="39"/>
  <c r="F13" i="6"/>
  <c r="E13" i="6"/>
  <c r="G23" i="32" l="1"/>
  <c r="I20" i="39"/>
  <c r="F20" i="39"/>
  <c r="E21" i="6"/>
  <c r="E18" i="6"/>
  <c r="E19" i="6"/>
  <c r="E16" i="6"/>
  <c r="E17" i="6"/>
  <c r="E20" i="6"/>
  <c r="F17" i="6"/>
  <c r="F21" i="6"/>
  <c r="F19" i="6"/>
  <c r="F18" i="6"/>
  <c r="F16" i="6"/>
  <c r="F20" i="6"/>
</calcChain>
</file>

<file path=xl/sharedStrings.xml><?xml version="1.0" encoding="utf-8"?>
<sst xmlns="http://schemas.openxmlformats.org/spreadsheetml/2006/main" count="333" uniqueCount="180">
  <si>
    <t>Verizon</t>
  </si>
  <si>
    <t>AT&amp;T</t>
  </si>
  <si>
    <t>Sprint</t>
  </si>
  <si>
    <t>T-Mobile</t>
  </si>
  <si>
    <t>U.S. Cellular</t>
  </si>
  <si>
    <t>Wholesale Subscribers</t>
  </si>
  <si>
    <t>Wholesale Revenue</t>
  </si>
  <si>
    <t>Network</t>
  </si>
  <si>
    <t>Average revenue per user (Wholesale)</t>
  </si>
  <si>
    <t>All Subscriber counts are numbers for end of year Dec 31</t>
  </si>
  <si>
    <t>9/31/2016</t>
  </si>
  <si>
    <t>Postpaid ARPU</t>
  </si>
  <si>
    <t xml:space="preserve">Prepaid ARPU </t>
  </si>
  <si>
    <t>9/31/2017</t>
  </si>
  <si>
    <t>Pre-Paid Revenues</t>
  </si>
  <si>
    <t>Post-Paid Revenues</t>
  </si>
  <si>
    <t>Pre-Paid Subscribers (End of Year Dec 31)</t>
  </si>
  <si>
    <t xml:space="preserve">Average Pre-Paid Subscribers </t>
  </si>
  <si>
    <t>Average Post-Paid Subscribers</t>
  </si>
  <si>
    <t xml:space="preserve">Sources and Notes: </t>
  </si>
  <si>
    <t>Average revenue per user (Post-Paid)</t>
  </si>
  <si>
    <t>Average revenue per user (Pre-Paid)</t>
  </si>
  <si>
    <t>Subscribers and Revenues</t>
  </si>
  <si>
    <t>Sprint 2017 10-Q</t>
  </si>
  <si>
    <t>T-Mobile 2017 Annual Report</t>
  </si>
  <si>
    <t>Calculation: Postpaid revenue / Average Postpaid subscribers / 12</t>
  </si>
  <si>
    <t>Calculation: Prepaid revenue / Average Prepaid subscribers / 12</t>
  </si>
  <si>
    <t>Calculation: Average between given year Prepaid subscribers and previous year Prepaid subscribers</t>
  </si>
  <si>
    <t>Calculation: Simple average across all quarterly Postpaid ARPU (Source: US Cellular 2016 Q4 Quarterly Report, US Cellular 2017 Q4 Quarterly Report)</t>
  </si>
  <si>
    <t>Calculation: Simple average across all quarterly Prepaid ARPU (Source: US Cellular 2016 Q4 Quarterly Report, US Cellular 2017 Q4 Quarterly Report)</t>
  </si>
  <si>
    <t>[1]</t>
  </si>
  <si>
    <t>[2]</t>
  </si>
  <si>
    <t>Average Wholesale Subscribers</t>
  </si>
  <si>
    <t>[3]</t>
  </si>
  <si>
    <t>[4]</t>
  </si>
  <si>
    <t>Calculation: Average between given year Wholesale subscribers and previous year Wholesale subscribers</t>
  </si>
  <si>
    <t>AT&amp;T 2017 Annual Report, AT&amp;T 2016 Annual Report</t>
  </si>
  <si>
    <t>Post-Paid Subscribers (End of Year Dec 31)</t>
  </si>
  <si>
    <t>Sprint 2017 Q4 10-Q, Sprint 2015 Q4 10-Q</t>
  </si>
  <si>
    <t>T-Mobile 2017 Annual Report, T-Mobile 2015 Annual Report</t>
  </si>
  <si>
    <t>9/31/2014</t>
  </si>
  <si>
    <t>9/31/2015</t>
  </si>
  <si>
    <t>US Cellular 2014,2015, 2016, &amp; 2017 Q4 Quarterly Reports</t>
  </si>
  <si>
    <t>[F]</t>
  </si>
  <si>
    <t>Total</t>
  </si>
  <si>
    <t>Postpaid Subscibers and Market Share, 2014-2017</t>
  </si>
  <si>
    <t>Post-Paid Market Share (%)</t>
  </si>
  <si>
    <t>Post-Paid Average Revenue per Unit, 2014 - 2017</t>
  </si>
  <si>
    <t>Provider</t>
  </si>
  <si>
    <t>Pre-Paid Average Revenue per Unit, 2014 - 2017</t>
  </si>
  <si>
    <t>N/A</t>
  </si>
  <si>
    <t>Prepaid Subscibers and Market Share, 2014-2017</t>
  </si>
  <si>
    <t>Pre-Paid Market Share (%)</t>
  </si>
  <si>
    <t>Tracfone</t>
  </si>
  <si>
    <t>SOURCE: Verizon 2015, 2016, 2017 Annual Report</t>
  </si>
  <si>
    <t>SOURCE: US Cellular 2014, 2015, 2016, &amp; 2017 Q4 Quarterly Reports</t>
  </si>
  <si>
    <t>America Movil 2015 Q4 Quarterly Report, America Movil 2017 Q4 Quarterly Report</t>
  </si>
  <si>
    <t>Q4 2014</t>
  </si>
  <si>
    <t>Q4 2015</t>
  </si>
  <si>
    <t>Q4 2016</t>
  </si>
  <si>
    <t>Q4 2017</t>
  </si>
  <si>
    <t>[5]</t>
  </si>
  <si>
    <t>Wholesale revenue</t>
  </si>
  <si>
    <t>ARPU</t>
  </si>
  <si>
    <t>[A]</t>
  </si>
  <si>
    <t>[B]</t>
  </si>
  <si>
    <t>[C]</t>
  </si>
  <si>
    <t>U.S. Wireless Subscribers by Segment, 2014-2017</t>
  </si>
  <si>
    <t>Postpaid</t>
  </si>
  <si>
    <t>Prepaid</t>
  </si>
  <si>
    <t>Total Subscribers</t>
  </si>
  <si>
    <t>% yoy growth</t>
  </si>
  <si>
    <t>Year-Over-Year Growth</t>
  </si>
  <si>
    <t>Total Year-Over-Year Growth</t>
  </si>
  <si>
    <t>% mix</t>
  </si>
  <si>
    <t>Segment Share</t>
  </si>
  <si>
    <t>Total Segment Share</t>
  </si>
  <si>
    <t>Branded Customers by Segment, 2014-2017</t>
  </si>
  <si>
    <t>Postpaid Customers</t>
  </si>
  <si>
    <t>Prepaid Customers</t>
  </si>
  <si>
    <t>Wholesale Customers</t>
  </si>
  <si>
    <t>Sources: Prepaid Phone News Quarterly Reports (2015-2017)</t>
  </si>
  <si>
    <t xml:space="preserve">Verizon Wholesale Calculations: </t>
  </si>
  <si>
    <t>Total Connections</t>
  </si>
  <si>
    <t>Prepaid (including MVNO)</t>
  </si>
  <si>
    <t>Connected Devices</t>
  </si>
  <si>
    <t>ARPA</t>
  </si>
  <si>
    <t>Other MVNO</t>
  </si>
  <si>
    <t>Wholesale Business, 2017</t>
  </si>
  <si>
    <t>Retail postpaid connections per account</t>
  </si>
  <si>
    <t>Quarterly Postpaid ARPU</t>
  </si>
  <si>
    <t>2014 Q1</t>
  </si>
  <si>
    <t>2014 Q2</t>
  </si>
  <si>
    <t>2015 Q3</t>
  </si>
  <si>
    <t>2014 Q3</t>
  </si>
  <si>
    <t>2014 Q4</t>
  </si>
  <si>
    <t>2015 Q1</t>
  </si>
  <si>
    <t>2015 Q2</t>
  </si>
  <si>
    <t>2016 Q4</t>
  </si>
  <si>
    <t>2017 Q1</t>
  </si>
  <si>
    <t>2017 Q2</t>
  </si>
  <si>
    <t>2017 Q3</t>
  </si>
  <si>
    <t>2017 Q4</t>
  </si>
  <si>
    <t>2015 Q4</t>
  </si>
  <si>
    <t>2016 Q1</t>
  </si>
  <si>
    <t>2016 Q2</t>
  </si>
  <si>
    <t>2016 Q3</t>
  </si>
  <si>
    <t>End of quarter connections</t>
  </si>
  <si>
    <t>yearly weighted average arpu</t>
  </si>
  <si>
    <t>Source for ARPU: 2017 Q4 earnings (p 11/12), 2015 Q4 earnings (p 20)</t>
  </si>
  <si>
    <t>Notes: 2014 and 2015 T-Mobile wholesale numbers are estimated by using their 2016's ratio of Lifeline program subscribers to total wholesale subscribers and subtracting that amount off of their total wholesale subscribers for 2014 and 2015. postpaid numbers taken from 'retail' tab</t>
  </si>
  <si>
    <t>Prepaid connections</t>
  </si>
  <si>
    <t>lifeline subs &gt;&gt;&gt;</t>
  </si>
  <si>
    <t>sprint fraction of year reported&gt;&gt;</t>
  </si>
  <si>
    <t>US Cellular</t>
  </si>
  <si>
    <t>Share</t>
  </si>
  <si>
    <t>Pre-Merger HHI</t>
  </si>
  <si>
    <t>Delta HHI</t>
  </si>
  <si>
    <t>Post-Merger HHI</t>
  </si>
  <si>
    <t>New T-Mobile</t>
  </si>
  <si>
    <t>Connections (millions)</t>
  </si>
  <si>
    <t>Connections
(millions)</t>
  </si>
  <si>
    <t>Post-Paid Subscribers (millions)</t>
  </si>
  <si>
    <t>Pre-Paid Subscribers (millions)</t>
  </si>
  <si>
    <t>Revenue
(USD millions)</t>
  </si>
  <si>
    <t>All Connections</t>
  </si>
  <si>
    <t>Market Concentration for Supply of Wireless Services Facilities</t>
  </si>
  <si>
    <t>Postpaid Connections</t>
  </si>
  <si>
    <t>Prepaid Connections</t>
  </si>
  <si>
    <r>
      <t xml:space="preserve">Sources: 2014 - 2017 Company Annual Reports; Dennis Bournique, “Fourth Quarter, 2017 Prepaid Mobile Subscriber Numbers by Operator,” Prepaid Phone News, February 19, 2018, available </t>
    </r>
    <r>
      <rPr>
        <sz val="11"/>
        <color rgb="FF7FB9C2"/>
        <rFont val="Calibri"/>
        <family val="2"/>
        <scheme val="minor"/>
      </rPr>
      <t>https://www.prepaidphonenews.com/2018/02/fourth-quarter-2017-prepaid-mobile.html</t>
    </r>
    <r>
      <rPr>
        <sz val="11"/>
        <color theme="1"/>
        <rFont val="Calibri"/>
        <family val="2"/>
        <scheme val="minor"/>
      </rPr>
      <t>, accessed August 15, 2018; Dennis Bournique, “Fourth Quarter, 2016 Prepaid Mobile Subscriber Numbers by Operator,” Prepaid Phone News, February 14, 2017, available https://www.prepaidphonenews.com/2017/02/fourth-quarter-2016-prepaid-mobile.html, accessed August 15, 2018; Dennis Bournique, “Fourth Quarter, 2015 Prepaid Mobile Subscriber Numbers by Operator,” Prepaid Phone News, February 17, 2016, available https://www.prepaidphonenews.com/2016/02/fourth-quarter-2015-prepaid-mobile.html, accessed August 15, 2018; Dennis Bournique, “Fourth Quarter, 2014 Prepaid Mobile Subscriber Numbers by Operator,” Prepaid Phone News, February 19, 2015, available https://www.prepaidphonenews.com/2015/02/fouth-quarter-2014-prepaid-mobile.html, accessed August 15, 2018.</t>
    </r>
  </si>
  <si>
    <t>Notes: Connection counts are end of the year December 31. 2014 – 2016 Sprint and T-Mobile Prepaid (including MVNO) connection counts were adjusted to not include Lifeline connections.</t>
  </si>
  <si>
    <t>Assumed that Sprint and T-Mobile had a constant ratio of Lifeline customers between 2014 and 2016.</t>
  </si>
  <si>
    <t>Sources: 2014 - 2017 Company Annual Reports</t>
  </si>
  <si>
    <t>Notes: Subscriber counts are end of the year December 31.</t>
  </si>
  <si>
    <t>Source: 2014 - 2017 Company Annual Reports; 2015 and 2017 AT&amp;T Financial and Operation Results.</t>
  </si>
  <si>
    <t>Notes: Verizon Postpaid ARPU is calculated by dividing Average Revenue Per Account, not including recurring device payment billings, (ARPA) by retail Postpaid connections per account. T-Mobile and U.S. Cellular ARPU calculated by dividing postpaid revenues by number of months in the given period (12). AT&amp;T values are based on its quarterly earnings statements based on reported values for “Postpaid ARPU (Historical Accounting Method)”. Sprint values are based on its quarterly earnings statements based on reported values for “Nine Months Ended December 31, Postpaid ARPU”.</t>
  </si>
  <si>
    <t xml:space="preserve">Notes: Connection counts are end of year December 31. Other MVNO calculated by subtracting TracFone prepaid connection counts from the sum of AT&amp;T, Verizon, Sprint, and T-Mobile’s total wholesale connections count. </t>
  </si>
  <si>
    <t>Sources: 2014 - 2017 Company Annual Reports.</t>
  </si>
  <si>
    <t>Notes: Sprint ARPU numbers are end of year March 31, while the other carriers’ ARPU numbers are end of year December 31. U.S. Cellular ARPU is calculated by a weighted average of all quarterly Prepaid ARPU estimates in the given year. T-Mobile and TracFone prepaid ARPU is calculated by dividing prepaid revenues by the number of months in the given period (12). Sprint ARPU is from their annual reports.</t>
  </si>
  <si>
    <t>Sources: Sprint 2017 Q4 10-Q; Sprint 2015 Q4 10-Q; T-Mobile 2017 Annual Report; T-Mobile 2015 Annual Report.</t>
  </si>
  <si>
    <t xml:space="preserve">Notes: </t>
  </si>
  <si>
    <t>[A]: Connection counts are calculated by averaging 2016 and 2017’s end of the year wholesale connection counts. Connection counts do not include Lifeline customers.</t>
  </si>
  <si>
    <t>[B]: Sprint's 9-month wholesale revenue is multiplied by 1.33 to estimate their 12-month wholesale revenue.</t>
  </si>
  <si>
    <t>[C]: ([B] / [A]) / 12.</t>
  </si>
  <si>
    <t xml:space="preserve">Sources: 2017 Company Annual Reports; Dennis Bournique, “Fourth Quarter, 2017 Prepaid Mobile Subscriber Numbers by Operator;” Prepaid Phone News, February 19, 2018, available https://www.prepaidphonenews.com/2018/02/fourth-quarter-2017-prepaid-mobile.html, accessed August 15, 2018. </t>
  </si>
  <si>
    <t>Notes: Total retail connections are estimated total retail connections for publicly traded facilities–based mobile wireless service providers (in thousands). Connections counts are for end of the year December 31. HHI is calculated as the sum of the squares of each firm's market share.</t>
  </si>
  <si>
    <t xml:space="preserve">Prepaid connections attribute MVNO connections to their host networks based on the number of wholesale connections estimated for each MNO. </t>
  </si>
  <si>
    <t xml:space="preserve">  Calculation: ARPA / retail connections per account</t>
  </si>
  <si>
    <t>[D]</t>
  </si>
  <si>
    <t>[E]</t>
  </si>
  <si>
    <t>AT&amp;T C</t>
  </si>
  <si>
    <t>Verizon W Calculation</t>
  </si>
  <si>
    <t>AT&amp;T W % of W and C</t>
  </si>
  <si>
    <t>Notes:</t>
  </si>
  <si>
    <t>Total Verizon Connections - Verizon prepaid and postpaid Connections</t>
  </si>
  <si>
    <t>Total AT&amp;T Connections - AT&amp;T prepaid and postpaid Connections</t>
  </si>
  <si>
    <t>[A] - AT&amp;T Wholesale Connections</t>
  </si>
  <si>
    <t>AT&amp;T Wholesale (W) and Connected Devices (C)</t>
  </si>
  <si>
    <t>Verizon W and C</t>
  </si>
  <si>
    <t>AT&amp;T Wholesale Connections / [A]</t>
  </si>
  <si>
    <t xml:space="preserve">[D] * [C] </t>
  </si>
  <si>
    <t>2017 Wholesale Revenue</t>
  </si>
  <si>
    <t>Lifeline Connections</t>
  </si>
  <si>
    <t>Wholesale Connections (excluding Lifeline Connections</t>
  </si>
  <si>
    <t>2017 Average Wholesale Connections</t>
  </si>
  <si>
    <t>Connections and Wholesale Revenues</t>
  </si>
  <si>
    <t>2016 Connections taken from Sprint 2016 Annual Report. 2014 &amp; 2015 calculated by multiplying total wholesale connections (including lifeline connections)</t>
  </si>
  <si>
    <t xml:space="preserve"> by the proportion of lifeline connections to total connections in 2016</t>
  </si>
  <si>
    <t>Calculation: Total connections - lifeline connections</t>
  </si>
  <si>
    <t>2016 Connections taken from T-Mobile 2016 Annual Report. 2014 &amp; 2015 calculated by multiplying total wholesale connections (including lifeline connections)</t>
  </si>
  <si>
    <t>AT&amp;T Annual Reports</t>
  </si>
  <si>
    <t>Verizon Annual Reports</t>
  </si>
  <si>
    <t>T-Mobile Annual Reports</t>
  </si>
  <si>
    <t>Sprint Q4 10-Qs</t>
  </si>
  <si>
    <t>End of Year Dec 31 Average</t>
  </si>
  <si>
    <t>Sources: US Cellular 2014,2015, 2016, &amp; 2017 Q4 Quarterly Reports</t>
  </si>
  <si>
    <t>Note: Averages are weighted averages across each quarter in calendar year</t>
  </si>
  <si>
    <t>U.S. Cellular Prepaid ARPU Calculations</t>
  </si>
  <si>
    <t>US Cellular Q4 Annual Reports</t>
  </si>
  <si>
    <t>Tracfone Q4 Financial Reports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</si>
</sst>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_);\(0\)"/>
    <numFmt numFmtId="165" formatCode="&quot;$&quot;#,##0.00"/>
    <numFmt numFmtId="166" formatCode="_(* #,##0_);_(* \(#,##0\);_(* &quot;-&quot;??_);_(@_)"/>
    <numFmt numFmtId="167" formatCode="&quot;$&quot;#,##0"/>
    <numFmt numFmtId="168" formatCode="0.0%"/>
    <numFmt numFmtId="169" formatCode="_(&quot;$&quot;* #,##0_);_(&quot;$&quot;* \(#,##0\);_(&quot;$&quot;* &quot;-&quot;??_);_(@_)"/>
    <numFmt numFmtId="170" formatCode="0.00_)"/>
    <numFmt numFmtId="171" formatCode="#,##0.0"/>
    <numFmt numFmtId="172" formatCode="_(* #,##0.0_);_(* \(#,##0.0\);_(* &quot;-&quot;??_);_(@_)"/>
  </numFmts>
  <fonts count="54"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2"/>
      <color theme="1"/>
      <name val="Calibri"/>
      <family val="2"/>
      <scheme val="minor"/>
    </font>
    <font>
      <b/>
      <sz val="18"/>
      <color theme="3"/>
      <name val="Calibri"/>
      <family val="2"/>
      <scheme val="major"/>
    </font>
    <font>
      <sz val="10"/>
      <name val="Arial"/>
      <family val="2"/>
    </font>
    <font>
      <sz val="10"/>
      <name val="MS Sans Serif"/>
      <family val="2"/>
    </font>
    <font>
      <sz val="9"/>
      <name val="Arial"/>
      <family val="2"/>
    </font>
    <font>
      <sz val="7"/>
      <name val="Arial"/>
      <family val="2"/>
    </font>
    <font>
      <u/>
      <sz val="10"/>
      <color indexed="12"/>
      <name val="Helv"/>
    </font>
    <font>
      <u/>
      <sz val="11"/>
      <color theme="10"/>
      <name val="Calibri"/>
      <family val="2"/>
    </font>
    <font>
      <u/>
      <sz val="11"/>
      <color theme="10"/>
      <name val="Calibri"/>
      <family val="2"/>
      <scheme val="minor"/>
    </font>
    <font>
      <b/>
      <sz val="12"/>
      <name val="Arial"/>
      <family val="2"/>
    </font>
    <font>
      <sz val="12"/>
      <name val="Arial"/>
      <family val="2"/>
    </font>
    <font>
      <sz val="10"/>
      <name val="Tahoma"/>
      <family val="2"/>
    </font>
    <font>
      <sz val="10"/>
      <color indexed="8"/>
      <name val="Arial"/>
      <family val="2"/>
    </font>
    <font>
      <sz val="10"/>
      <color indexed="10"/>
      <name val="Arial"/>
      <family val="2"/>
    </font>
    <font>
      <sz val="9"/>
      <color indexed="10"/>
      <name val="Arial"/>
      <family val="2"/>
    </font>
    <font>
      <sz val="14"/>
      <name val="Arial"/>
      <family val="2"/>
    </font>
    <font>
      <sz val="16"/>
      <name val="Arial"/>
      <family val="2"/>
    </font>
    <font>
      <b/>
      <sz val="18"/>
      <color theme="4"/>
      <name val="Calibri"/>
      <family val="2"/>
      <scheme val="minor"/>
    </font>
    <font>
      <b/>
      <sz val="14"/>
      <color theme="8"/>
      <name val="Calibri"/>
      <family val="2"/>
      <scheme val="minor"/>
    </font>
    <font>
      <sz val="8"/>
      <name val="Arial"/>
      <family val="2"/>
    </font>
    <font>
      <sz val="7"/>
      <name val="Small Fonts"/>
      <family val="2"/>
    </font>
    <font>
      <b/>
      <i/>
      <sz val="16"/>
      <name val="Helv"/>
    </font>
    <font>
      <sz val="10"/>
      <name val="Times New Roman"/>
      <family val="1"/>
    </font>
    <font>
      <b/>
      <sz val="10"/>
      <color indexed="9"/>
      <name val="Arial"/>
      <family val="2"/>
    </font>
    <font>
      <sz val="10"/>
      <color rgb="FFFF0000"/>
      <name val="Arial"/>
      <family val="2"/>
    </font>
    <font>
      <sz val="11"/>
      <color theme="2"/>
      <name val="Calibri"/>
      <family val="2"/>
      <scheme val="minor"/>
    </font>
    <font>
      <sz val="11"/>
      <name val="Calibri"/>
      <family val="2"/>
      <scheme val="minor"/>
    </font>
    <font>
      <sz val="11"/>
      <color rgb="FF7FB9C2"/>
      <name val="Calibri"/>
      <family val="2"/>
      <scheme val="minor"/>
    </font>
    <font>
      <sz val="11"/>
      <color theme="1"/>
      <name val="Calibri"/>
      <family val="2"/>
    </font>
    <font>
      <sz val="11"/>
      <color rgb="FF0000CC"/>
      <name val="Calibri"/>
      <family val="2"/>
      <scheme val="minor"/>
    </font>
    <font>
      <b/>
      <sz val="11"/>
      <name val="Calibri"/>
      <family val="2"/>
      <scheme val="minor"/>
    </font>
    <font>
      <sz val="11"/>
      <color rgb="FF7030A0"/>
      <name val="Calibri"/>
      <family val="2"/>
      <scheme val="minor"/>
    </font>
    <font>
      <b/>
      <sz val="18"/>
      <name val="Calibri"/>
      <family val="2"/>
      <scheme val="minor"/>
    </font>
    <font>
      <sz val="11"/>
      <name val="Calibri"/>
      <family val="2"/>
    </font>
    <font>
      <b/>
      <sz val="14"/>
      <color rgb="FF00467F"/>
      <name val="Calibri"/>
      <family val="2"/>
      <scheme val="minor"/>
    </font>
    <font>
      <b/>
      <sz val="14"/>
      <color theme="2"/>
      <name val="Calibri"/>
      <family val="2"/>
      <scheme val="minor"/>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3"/>
        <bgColor indexed="64"/>
      </patternFill>
    </fill>
    <fill>
      <patternFill patternType="solid">
        <fgColor indexed="22"/>
        <bgColor indexed="64"/>
      </patternFill>
    </fill>
    <fill>
      <patternFill patternType="solid">
        <fgColor theme="9"/>
        <bgColor indexed="64"/>
      </patternFill>
    </fill>
    <fill>
      <patternFill patternType="solid">
        <fgColor indexed="26"/>
        <bgColor indexed="64"/>
      </patternFill>
    </fill>
    <fill>
      <patternFill patternType="solid">
        <fgColor indexed="21"/>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55"/>
      </top>
      <bottom style="medium">
        <color indexed="8"/>
      </bottom>
      <diagonal/>
    </border>
    <border>
      <left/>
      <right/>
      <top/>
      <bottom style="thin">
        <color indexed="63"/>
      </bottom>
      <diagonal/>
    </border>
    <border>
      <left/>
      <right/>
      <top/>
      <bottom style="medium">
        <color indexed="64"/>
      </bottom>
      <diagonal/>
    </border>
    <border>
      <left/>
      <right/>
      <top style="thin">
        <color indexed="55"/>
      </top>
      <bottom/>
      <diagonal/>
    </border>
    <border>
      <left/>
      <right/>
      <top style="thin">
        <color indexed="64"/>
      </top>
      <bottom/>
      <diagonal/>
    </border>
    <border>
      <left/>
      <right style="thin">
        <color indexed="64"/>
      </right>
      <top/>
      <bottom/>
      <diagonal/>
    </border>
    <border>
      <left/>
      <right/>
      <top/>
      <bottom style="thin">
        <color rgb="FF333333"/>
      </bottom>
      <diagonal/>
    </border>
  </borders>
  <cellStyleXfs count="2824">
    <xf numFmtId="0" fontId="0" fillId="0" borderId="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xf numFmtId="0" fontId="19" fillId="0" borderId="0" applyNumberFormat="0" applyFill="0" applyBorder="0" applyAlignment="0" applyProtection="0"/>
    <xf numFmtId="0" fontId="18" fillId="0" borderId="0"/>
    <xf numFmtId="0" fontId="20" fillId="0" borderId="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2"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Protection="0">
      <alignment horizontal="left"/>
    </xf>
    <xf numFmtId="42" fontId="20" fillId="0" borderId="0" applyFont="0" applyFill="0" applyBorder="0" applyProtection="0">
      <alignment horizontal="left"/>
    </xf>
    <xf numFmtId="42" fontId="20" fillId="0" borderId="0" applyFont="0" applyFill="0" applyBorder="0" applyProtection="0">
      <alignment horizontal="left"/>
    </xf>
    <xf numFmtId="42" fontId="20" fillId="0" borderId="0" applyFont="0" applyFill="0" applyBorder="0" applyProtection="0">
      <alignment horizontal="left"/>
    </xf>
    <xf numFmtId="42" fontId="20" fillId="0" borderId="0" applyFont="0" applyFill="0" applyBorder="0" applyProtection="0">
      <alignment horizontal="left"/>
    </xf>
    <xf numFmtId="44" fontId="20"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22"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2"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0" fontId="22" fillId="0" borderId="0">
      <alignment wrapText="1"/>
    </xf>
    <xf numFmtId="0" fontId="23" fillId="0" borderId="0" applyNumberFormat="0" applyFont="0" applyBorder="0" applyAlignment="0">
      <alignment vertical="center"/>
    </xf>
    <xf numFmtId="0" fontId="24"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6" fillId="0" borderId="0" applyNumberFormat="0" applyFill="0" applyBorder="0" applyAlignment="0" applyProtection="0"/>
    <xf numFmtId="0" fontId="27" fillId="33" borderId="12">
      <alignment horizontal="center" vertical="center"/>
    </xf>
    <xf numFmtId="0" fontId="20" fillId="0" borderId="13" applyNumberFormat="0" applyAlignment="0">
      <alignment vertical="center"/>
    </xf>
    <xf numFmtId="0" fontId="22" fillId="0" borderId="0" applyNumberFormat="0">
      <alignment vertical="center"/>
    </xf>
    <xf numFmtId="0" fontId="20" fillId="0" borderId="0"/>
    <xf numFmtId="0" fontId="20" fillId="0" borderId="0"/>
    <xf numFmtId="0" fontId="1" fillId="0" borderId="0"/>
    <xf numFmtId="0" fontId="28" fillId="0" borderId="0"/>
    <xf numFmtId="0" fontId="21" fillId="0" borderId="0"/>
    <xf numFmtId="0" fontId="1" fillId="0" borderId="0"/>
    <xf numFmtId="0" fontId="20" fillId="0" borderId="0"/>
    <xf numFmtId="0" fontId="21" fillId="0" borderId="0"/>
    <xf numFmtId="0" fontId="20" fillId="0" borderId="0"/>
    <xf numFmtId="0" fontId="29" fillId="0" borderId="0"/>
    <xf numFmtId="0" fontId="30" fillId="0" borderId="0"/>
    <xf numFmtId="0" fontId="30" fillId="0" borderId="0"/>
    <xf numFmtId="0" fontId="3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1" fillId="0" borderId="0"/>
    <xf numFmtId="0" fontId="18" fillId="0" borderId="0"/>
    <xf numFmtId="0" fontId="20" fillId="0" borderId="0"/>
    <xf numFmtId="0" fontId="20" fillId="0" borderId="0"/>
    <xf numFmtId="0" fontId="20"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0" borderId="0" applyNumberFormat="0">
      <alignment vertical="center"/>
    </xf>
    <xf numFmtId="0" fontId="22" fillId="0" borderId="0" applyNumberFormat="0">
      <alignment vertical="center"/>
    </xf>
    <xf numFmtId="0" fontId="20" fillId="0" borderId="0" applyBorder="0"/>
    <xf numFmtId="0" fontId="20" fillId="0" borderId="0"/>
    <xf numFmtId="0" fontId="20" fillId="0" borderId="0"/>
    <xf numFmtId="0" fontId="20" fillId="0" borderId="0"/>
    <xf numFmtId="0" fontId="22" fillId="0" borderId="0" applyNumberFormat="0">
      <alignment vertical="center"/>
    </xf>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0" borderId="0" applyNumberFormat="0">
      <alignment vertical="center"/>
    </xf>
    <xf numFmtId="0" fontId="20" fillId="0" borderId="0" applyBorder="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0" borderId="0" applyNumberFormat="0">
      <alignment vertical="center"/>
    </xf>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2"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2"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1" fillId="0" borderId="0" applyFont="0" applyFill="0" applyBorder="0" applyAlignment="0" applyProtection="0"/>
    <xf numFmtId="41" fontId="31" fillId="0" borderId="14" applyNumberFormat="0" applyFont="0" applyFill="0" applyAlignment="0" applyProtection="0">
      <alignment horizontal="right" vertical="center"/>
    </xf>
    <xf numFmtId="0" fontId="32" fillId="0" borderId="15" applyNumberFormat="0" applyFont="0" applyFill="0" applyAlignment="0" applyProtection="0">
      <alignment vertical="center"/>
    </xf>
    <xf numFmtId="0" fontId="31" fillId="34" borderId="16" applyNumberFormat="0" applyFont="0" applyBorder="0" applyAlignment="0" applyProtection="0"/>
    <xf numFmtId="0" fontId="28" fillId="0" borderId="0"/>
    <xf numFmtId="0" fontId="33" fillId="0" borderId="0">
      <alignment horizontal="left" wrapText="1"/>
    </xf>
    <xf numFmtId="0" fontId="34" fillId="0" borderId="0">
      <alignment horizontal="left"/>
    </xf>
    <xf numFmtId="164" fontId="32" fillId="0" borderId="0" applyFont="0" applyFill="0" applyBorder="0" applyProtection="0">
      <alignment vertical="center"/>
    </xf>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38" fontId="37" fillId="34" borderId="0" applyNumberFormat="0" applyBorder="0" applyAlignment="0" applyProtection="0"/>
    <xf numFmtId="10" fontId="37" fillId="36" borderId="12" applyNumberFormat="0" applyBorder="0" applyAlignment="0" applyProtection="0"/>
    <xf numFmtId="37" fontId="38" fillId="0" borderId="0"/>
    <xf numFmtId="170" fontId="39" fillId="0" borderId="0"/>
    <xf numFmtId="0" fontId="20" fillId="0" borderId="0"/>
    <xf numFmtId="0" fontId="20" fillId="0" borderId="0"/>
    <xf numFmtId="0" fontId="20" fillId="0" borderId="0"/>
    <xf numFmtId="0" fontId="20" fillId="0" borderId="0"/>
    <xf numFmtId="0" fontId="22" fillId="0" borderId="0" applyNumberFormat="0">
      <alignment vertical="center"/>
    </xf>
    <xf numFmtId="0" fontId="40" fillId="0" borderId="0"/>
    <xf numFmtId="0" fontId="22" fillId="0" borderId="0" applyNumberFormat="0">
      <alignment vertical="center"/>
    </xf>
    <xf numFmtId="0" fontId="1" fillId="0" borderId="0"/>
    <xf numFmtId="0" fontId="41" fillId="37" borderId="18"/>
    <xf numFmtId="10" fontId="20" fillId="0" borderId="0" applyFont="0" applyFill="0" applyBorder="0" applyAlignment="0" applyProtection="0"/>
    <xf numFmtId="0" fontId="42" fillId="0" borderId="19" applyNumberFormat="0" applyFont="0" applyFill="0" applyProtection="0"/>
    <xf numFmtId="0" fontId="31" fillId="0" borderId="14" applyNumberFormat="0" applyFont="0" applyFill="0" applyProtection="0"/>
    <xf numFmtId="0" fontId="31" fillId="34" borderId="16" applyNumberFormat="0" applyFont="0" applyBorder="0" applyAlignment="0" applyProtection="0"/>
    <xf numFmtId="1" fontId="40" fillId="0" borderId="0" applyBorder="0">
      <alignment horizontal="left" vertical="top" wrapText="1"/>
    </xf>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cellStyleXfs>
  <cellXfs count="211">
    <xf numFmtId="0" fontId="0" fillId="0" borderId="0" xfId="0"/>
    <xf numFmtId="0" fontId="0" fillId="0" borderId="10" xfId="0" applyBorder="1"/>
    <xf numFmtId="0" fontId="15" fillId="0" borderId="0" xfId="0" applyFont="1" applyAlignment="1">
      <alignment horizontal="centerContinuous"/>
    </xf>
    <xf numFmtId="0" fontId="0" fillId="0" borderId="0" xfId="0" applyAlignment="1">
      <alignment horizontal="center" wrapText="1"/>
    </xf>
    <xf numFmtId="0" fontId="0" fillId="0" borderId="11" xfId="0" applyBorder="1"/>
    <xf numFmtId="0" fontId="0" fillId="0" borderId="0" xfId="0" applyBorder="1"/>
    <xf numFmtId="0" fontId="15" fillId="0" borderId="0" xfId="0" applyFont="1" applyAlignment="1">
      <alignment horizontal="left" wrapText="1"/>
    </xf>
    <xf numFmtId="0" fontId="0" fillId="0" borderId="0" xfId="0" applyAlignment="1">
      <alignment horizontal="centerContinuous" vertical="center"/>
    </xf>
    <xf numFmtId="0" fontId="15" fillId="0" borderId="0" xfId="0" applyFont="1" applyAlignment="1">
      <alignment horizontal="centerContinuous" vertical="center"/>
    </xf>
    <xf numFmtId="0" fontId="0" fillId="0" borderId="0" xfId="0"/>
    <xf numFmtId="10" fontId="0" fillId="0" borderId="0" xfId="0" applyNumberFormat="1"/>
    <xf numFmtId="165" fontId="0" fillId="0" borderId="0" xfId="0" applyNumberFormat="1"/>
    <xf numFmtId="166" fontId="0" fillId="0" borderId="0" xfId="2797" applyNumberFormat="1" applyFont="1"/>
    <xf numFmtId="166" fontId="0" fillId="0" borderId="0" xfId="0" applyNumberFormat="1"/>
    <xf numFmtId="0" fontId="15" fillId="0" borderId="0" xfId="0" applyFont="1"/>
    <xf numFmtId="0" fontId="0" fillId="0" borderId="17" xfId="0" applyBorder="1"/>
    <xf numFmtId="165" fontId="0" fillId="0" borderId="0" xfId="2797" applyNumberFormat="1" applyFont="1"/>
    <xf numFmtId="167" fontId="0" fillId="0" borderId="0" xfId="2797" applyNumberFormat="1" applyFont="1"/>
    <xf numFmtId="0" fontId="0" fillId="0" borderId="0" xfId="0" applyFont="1"/>
    <xf numFmtId="0" fontId="15" fillId="0" borderId="11" xfId="0" applyFont="1" applyBorder="1" applyAlignment="1">
      <alignment horizontal="center" vertical="center" wrapText="1"/>
    </xf>
    <xf numFmtId="0" fontId="15" fillId="0" borderId="11" xfId="0" applyFont="1" applyBorder="1" applyAlignment="1">
      <alignment horizontal="center" vertical="center"/>
    </xf>
    <xf numFmtId="0" fontId="15" fillId="0" borderId="0" xfId="0" applyFont="1" applyBorder="1" applyAlignment="1">
      <alignment horizontal="center" vertical="center"/>
    </xf>
    <xf numFmtId="0" fontId="15" fillId="0" borderId="0" xfId="0" applyFont="1" applyBorder="1" applyAlignment="1">
      <alignment horizontal="center" vertical="center" wrapText="1"/>
    </xf>
    <xf numFmtId="0" fontId="15" fillId="0" borderId="0" xfId="0" applyFont="1" applyBorder="1" applyAlignment="1">
      <alignment horizontal="centerContinuous"/>
    </xf>
    <xf numFmtId="0" fontId="0" fillId="0" borderId="0" xfId="0" applyBorder="1" applyAlignment="1">
      <alignment horizontal="centerContinuous" vertical="center"/>
    </xf>
    <xf numFmtId="0" fontId="15" fillId="0" borderId="0" xfId="0" applyFont="1" applyBorder="1" applyAlignment="1">
      <alignment horizontal="centerContinuous" vertical="center"/>
    </xf>
    <xf numFmtId="0" fontId="0" fillId="35" borderId="0" xfId="0" applyFill="1"/>
    <xf numFmtId="0" fontId="0" fillId="35" borderId="0" xfId="0" applyFill="1" applyBorder="1"/>
    <xf numFmtId="0" fontId="35" fillId="0" borderId="0" xfId="0" applyFont="1" applyAlignment="1">
      <alignment horizontal="centerContinuous"/>
    </xf>
    <xf numFmtId="0" fontId="0" fillId="0" borderId="0" xfId="0" applyAlignment="1">
      <alignment horizontal="centerContinuous"/>
    </xf>
    <xf numFmtId="0" fontId="0" fillId="0" borderId="0" xfId="0" applyFont="1" applyBorder="1" applyAlignment="1">
      <alignment horizontal="centerContinuous" vertical="center"/>
    </xf>
    <xf numFmtId="0" fontId="15" fillId="0" borderId="0" xfId="0" applyFont="1" applyBorder="1" applyAlignment="1">
      <alignment horizontal="center" vertical="center"/>
    </xf>
    <xf numFmtId="0" fontId="15" fillId="0" borderId="0" xfId="0" applyFont="1" applyBorder="1" applyAlignment="1">
      <alignment horizontal="center" vertical="center" wrapText="1"/>
    </xf>
    <xf numFmtId="0" fontId="0" fillId="0" borderId="0" xfId="0" applyFill="1"/>
    <xf numFmtId="0" fontId="0" fillId="0" borderId="0" xfId="0" applyFont="1" applyFill="1"/>
    <xf numFmtId="0" fontId="15" fillId="0" borderId="17" xfId="0" applyFont="1" applyBorder="1" applyAlignment="1">
      <alignment horizontal="centerContinuous"/>
    </xf>
    <xf numFmtId="166" fontId="0" fillId="0" borderId="17" xfId="2797" applyNumberFormat="1" applyFont="1" applyBorder="1"/>
    <xf numFmtId="0" fontId="15" fillId="0" borderId="17" xfId="0" applyFont="1" applyBorder="1" applyAlignment="1">
      <alignment horizontal="center" vertical="center" wrapText="1"/>
    </xf>
    <xf numFmtId="0" fontId="15" fillId="0" borderId="17" xfId="0" applyFont="1" applyBorder="1" applyAlignment="1">
      <alignment horizontal="center" vertical="center"/>
    </xf>
    <xf numFmtId="0" fontId="0" fillId="0" borderId="17" xfId="0" applyBorder="1" applyAlignment="1">
      <alignment horizontal="centerContinuous" vertical="center"/>
    </xf>
    <xf numFmtId="0" fontId="0" fillId="0" borderId="0" xfId="0" applyAlignment="1">
      <alignment horizontal="left" indent="1"/>
    </xf>
    <xf numFmtId="0" fontId="0" fillId="0" borderId="0" xfId="0" applyAlignment="1">
      <alignment horizontal="left"/>
    </xf>
    <xf numFmtId="0" fontId="36" fillId="0" borderId="0" xfId="0" applyFont="1"/>
    <xf numFmtId="0" fontId="36" fillId="0" borderId="0" xfId="0" applyFont="1" applyAlignment="1">
      <alignment horizontal="centerContinuous"/>
    </xf>
    <xf numFmtId="0" fontId="15" fillId="0" borderId="11" xfId="0" applyFont="1" applyBorder="1"/>
    <xf numFmtId="0" fontId="0" fillId="0" borderId="11" xfId="0" applyFont="1" applyBorder="1"/>
    <xf numFmtId="0" fontId="15" fillId="0" borderId="0" xfId="0" applyFont="1" applyAlignment="1">
      <alignment horizontal="left" indent="1"/>
    </xf>
    <xf numFmtId="0" fontId="15" fillId="0" borderId="0" xfId="0" applyFont="1" applyBorder="1" applyAlignment="1">
      <alignment horizontal="center" vertical="center" wrapText="1"/>
    </xf>
    <xf numFmtId="0" fontId="0" fillId="0" borderId="0" xfId="0" applyAlignment="1">
      <alignment horizontal="center"/>
    </xf>
    <xf numFmtId="167" fontId="44" fillId="0" borderId="0" xfId="2797" applyNumberFormat="1" applyFont="1"/>
    <xf numFmtId="167" fontId="44" fillId="0" borderId="0" xfId="2798" applyNumberFormat="1" applyFont="1"/>
    <xf numFmtId="0" fontId="15" fillId="0" borderId="0" xfId="0" applyFont="1" applyAlignment="1">
      <alignment horizontal="left"/>
    </xf>
    <xf numFmtId="0" fontId="0" fillId="0" borderId="0" xfId="0" applyBorder="1" applyAlignment="1">
      <alignment horizontal="right"/>
    </xf>
    <xf numFmtId="0" fontId="0" fillId="0" borderId="11" xfId="0" applyBorder="1" applyAlignment="1">
      <alignment horizontal="right"/>
    </xf>
    <xf numFmtId="168" fontId="36" fillId="0" borderId="0" xfId="2799" applyNumberFormat="1" applyFont="1" applyAlignment="1">
      <alignment horizontal="centerContinuous"/>
    </xf>
    <xf numFmtId="168" fontId="0" fillId="0" borderId="10" xfId="2799" applyNumberFormat="1" applyFont="1" applyBorder="1"/>
    <xf numFmtId="0" fontId="0" fillId="0" borderId="0" xfId="0" applyAlignment="1">
      <alignment horizontal="right"/>
    </xf>
    <xf numFmtId="168" fontId="0" fillId="0" borderId="11" xfId="2799" applyNumberFormat="1" applyFont="1" applyBorder="1" applyAlignment="1">
      <alignment horizontal="right"/>
    </xf>
    <xf numFmtId="3" fontId="0" fillId="0" borderId="0" xfId="0" applyNumberFormat="1"/>
    <xf numFmtId="0" fontId="0" fillId="35" borderId="0" xfId="0" applyFont="1" applyFill="1" applyBorder="1"/>
    <xf numFmtId="0" fontId="15" fillId="0" borderId="0" xfId="0" applyFont="1" applyBorder="1"/>
    <xf numFmtId="0" fontId="0" fillId="35" borderId="0" xfId="0" applyFont="1" applyFill="1"/>
    <xf numFmtId="0" fontId="0" fillId="35" borderId="0" xfId="0" applyFill="1" applyAlignment="1">
      <alignment vertical="top" wrapText="1"/>
    </xf>
    <xf numFmtId="0" fontId="0" fillId="0" borderId="0" xfId="0" applyAlignment="1">
      <alignment vertical="top" wrapText="1"/>
    </xf>
    <xf numFmtId="43" fontId="0" fillId="0" borderId="0" xfId="2797" applyFont="1" applyFill="1"/>
    <xf numFmtId="166" fontId="0" fillId="0" borderId="0" xfId="0" applyNumberFormat="1" applyFill="1"/>
    <xf numFmtId="0" fontId="0" fillId="0" borderId="11" xfId="0" applyFill="1" applyBorder="1"/>
    <xf numFmtId="0" fontId="0" fillId="0" borderId="10" xfId="0" applyFill="1" applyBorder="1"/>
    <xf numFmtId="0" fontId="0" fillId="0" borderId="0" xfId="0" applyFill="1" applyAlignment="1">
      <alignment horizontal="centerContinuous"/>
    </xf>
    <xf numFmtId="0" fontId="0" fillId="0" borderId="0" xfId="0"/>
    <xf numFmtId="0" fontId="36" fillId="0" borderId="0" xfId="0" applyFont="1" applyAlignment="1">
      <alignment horizontal="centerContinuous"/>
    </xf>
    <xf numFmtId="0" fontId="0" fillId="0" borderId="0" xfId="0" applyAlignment="1">
      <alignment horizontal="centerContinuous"/>
    </xf>
    <xf numFmtId="0" fontId="0" fillId="0" borderId="10" xfId="0" applyBorder="1"/>
    <xf numFmtId="0" fontId="0" fillId="0" borderId="11" xfId="0" applyBorder="1"/>
    <xf numFmtId="0" fontId="15" fillId="0" borderId="11" xfId="0" applyFont="1" applyBorder="1"/>
    <xf numFmtId="0" fontId="0" fillId="0" borderId="0" xfId="0" applyAlignment="1">
      <alignment horizontal="left" indent="1"/>
    </xf>
    <xf numFmtId="0" fontId="15" fillId="0" borderId="0" xfId="0" applyFont="1" applyAlignment="1">
      <alignment horizontal="left" indent="1"/>
    </xf>
    <xf numFmtId="0" fontId="15" fillId="0" borderId="11" xfId="0" applyFont="1" applyBorder="1" applyAlignment="1">
      <alignment horizontal="left"/>
    </xf>
    <xf numFmtId="166" fontId="0" fillId="0" borderId="0" xfId="2797" applyNumberFormat="1" applyFont="1"/>
    <xf numFmtId="166" fontId="0" fillId="0" borderId="0" xfId="0" applyNumberFormat="1"/>
    <xf numFmtId="43" fontId="0" fillId="0" borderId="0" xfId="0" applyNumberFormat="1"/>
    <xf numFmtId="0" fontId="0" fillId="35" borderId="0" xfId="0" applyFill="1"/>
    <xf numFmtId="0" fontId="0" fillId="0" borderId="0" xfId="0" applyFill="1"/>
    <xf numFmtId="0" fontId="0" fillId="35" borderId="0" xfId="0" applyFill="1" applyAlignment="1">
      <alignment horizontal="right"/>
    </xf>
    <xf numFmtId="0" fontId="0" fillId="0" borderId="0" xfId="0" applyBorder="1" applyAlignment="1">
      <alignment horizontal="right" wrapText="1"/>
    </xf>
    <xf numFmtId="0" fontId="0" fillId="0" borderId="11" xfId="0" applyBorder="1" applyAlignment="1">
      <alignment horizontal="center" wrapText="1"/>
    </xf>
    <xf numFmtId="0" fontId="0" fillId="0" borderId="11" xfId="0" applyBorder="1" applyAlignment="1">
      <alignment horizontal="center"/>
    </xf>
    <xf numFmtId="0" fontId="36" fillId="0" borderId="0" xfId="0" applyFont="1" applyAlignment="1">
      <alignment horizontal="left"/>
    </xf>
    <xf numFmtId="0" fontId="46" fillId="0" borderId="0" xfId="0" applyFont="1" applyAlignment="1">
      <alignment horizontal="justify" vertical="center"/>
    </xf>
    <xf numFmtId="10" fontId="43" fillId="0" borderId="0" xfId="2799" applyNumberFormat="1" applyFont="1" applyFill="1"/>
    <xf numFmtId="0" fontId="44" fillId="0" borderId="0" xfId="0" applyFont="1" applyFill="1"/>
    <xf numFmtId="165" fontId="44" fillId="0" borderId="0" xfId="0" applyNumberFormat="1" applyFont="1" applyFill="1"/>
    <xf numFmtId="0" fontId="44" fillId="0" borderId="0" xfId="0" applyFont="1" applyFill="1" applyAlignment="1">
      <alignment horizontal="right"/>
    </xf>
    <xf numFmtId="166" fontId="44" fillId="0" borderId="0" xfId="2797" applyNumberFormat="1" applyFont="1" applyFill="1" applyAlignment="1">
      <alignment horizontal="right"/>
    </xf>
    <xf numFmtId="165" fontId="44" fillId="0" borderId="0" xfId="0" applyNumberFormat="1" applyFont="1" applyFill="1" applyAlignment="1">
      <alignment horizontal="right"/>
    </xf>
    <xf numFmtId="10" fontId="44" fillId="0" borderId="0" xfId="2799" applyNumberFormat="1" applyFont="1" applyFill="1" applyAlignment="1">
      <alignment horizontal="right"/>
    </xf>
    <xf numFmtId="0" fontId="0" fillId="0" borderId="0" xfId="0" applyFill="1" applyAlignment="1">
      <alignment horizontal="right"/>
    </xf>
    <xf numFmtId="43" fontId="44" fillId="0" borderId="0" xfId="2797" applyNumberFormat="1" applyFont="1" applyFill="1"/>
    <xf numFmtId="0" fontId="44" fillId="0" borderId="0" xfId="0" applyFont="1"/>
    <xf numFmtId="166" fontId="44" fillId="0" borderId="0" xfId="2797" applyNumberFormat="1" applyFont="1"/>
    <xf numFmtId="167" fontId="44" fillId="0" borderId="0" xfId="0" applyNumberFormat="1" applyFont="1"/>
    <xf numFmtId="166" fontId="47" fillId="0" borderId="0" xfId="2797" applyNumberFormat="1" applyFont="1"/>
    <xf numFmtId="165" fontId="44" fillId="0" borderId="0" xfId="2798" applyNumberFormat="1" applyFont="1"/>
    <xf numFmtId="165" fontId="44" fillId="0" borderId="0" xfId="0" applyNumberFormat="1" applyFont="1"/>
    <xf numFmtId="165" fontId="47" fillId="0" borderId="0" xfId="0" applyNumberFormat="1" applyFont="1"/>
    <xf numFmtId="14" fontId="44" fillId="0" borderId="0" xfId="0" applyNumberFormat="1" applyFont="1"/>
    <xf numFmtId="0" fontId="44" fillId="35" borderId="0" xfId="0" applyFont="1" applyFill="1"/>
    <xf numFmtId="0" fontId="44" fillId="35" borderId="0" xfId="0" applyFont="1" applyFill="1" applyAlignment="1">
      <alignment horizontal="right"/>
    </xf>
    <xf numFmtId="0" fontId="49" fillId="35" borderId="0" xfId="0" applyFont="1" applyFill="1"/>
    <xf numFmtId="0" fontId="50" fillId="0" borderId="0" xfId="0" applyFont="1" applyAlignment="1">
      <alignment horizontal="centerContinuous"/>
    </xf>
    <xf numFmtId="0" fontId="44" fillId="0" borderId="0" xfId="0" applyFont="1" applyAlignment="1">
      <alignment horizontal="centerContinuous"/>
    </xf>
    <xf numFmtId="0" fontId="44" fillId="0" borderId="10" xfId="0" applyFont="1" applyBorder="1"/>
    <xf numFmtId="0" fontId="44" fillId="35" borderId="0" xfId="0" applyFont="1" applyFill="1" applyBorder="1"/>
    <xf numFmtId="0" fontId="44" fillId="0" borderId="0" xfId="0" applyFont="1" applyBorder="1"/>
    <xf numFmtId="0" fontId="48" fillId="0" borderId="0" xfId="0" applyFont="1" applyBorder="1" applyAlignment="1">
      <alignment horizontal="centerContinuous"/>
    </xf>
    <xf numFmtId="0" fontId="48" fillId="0" borderId="0" xfId="0" applyFont="1" applyBorder="1" applyAlignment="1">
      <alignment horizontal="centerContinuous" vertical="center"/>
    </xf>
    <xf numFmtId="0" fontId="48" fillId="0" borderId="11" xfId="0" applyFont="1" applyBorder="1" applyAlignment="1">
      <alignment horizontal="center" vertical="center"/>
    </xf>
    <xf numFmtId="0" fontId="44" fillId="0" borderId="17" xfId="0" applyFont="1" applyBorder="1"/>
    <xf numFmtId="0" fontId="48" fillId="0" borderId="17" xfId="0" applyFont="1" applyBorder="1" applyAlignment="1">
      <alignment horizontal="centerContinuous"/>
    </xf>
    <xf numFmtId="0" fontId="44" fillId="0" borderId="0" xfId="0" applyFont="1" applyBorder="1" applyAlignment="1">
      <alignment horizontal="centerContinuous" vertical="center"/>
    </xf>
    <xf numFmtId="0" fontId="49" fillId="0" borderId="0" xfId="0" applyFont="1" applyBorder="1" applyAlignment="1">
      <alignment horizontal="centerContinuous" vertical="center"/>
    </xf>
    <xf numFmtId="0" fontId="48" fillId="0" borderId="0" xfId="0" applyFont="1" applyAlignment="1">
      <alignment horizontal="centerContinuous"/>
    </xf>
    <xf numFmtId="0" fontId="48" fillId="0" borderId="0" xfId="0" applyFont="1" applyAlignment="1">
      <alignment horizontal="centerContinuous" vertical="center"/>
    </xf>
    <xf numFmtId="0" fontId="48" fillId="0" borderId="0" xfId="0" applyFont="1" applyAlignment="1">
      <alignment horizontal="left" wrapText="1"/>
    </xf>
    <xf numFmtId="0" fontId="44" fillId="0" borderId="0" xfId="0" applyFont="1" applyAlignment="1">
      <alignment horizontal="center" wrapText="1"/>
    </xf>
    <xf numFmtId="0" fontId="44" fillId="0" borderId="11" xfId="0" applyFont="1" applyBorder="1"/>
    <xf numFmtId="0" fontId="47" fillId="35" borderId="0" xfId="0" applyFont="1" applyFill="1"/>
    <xf numFmtId="166" fontId="49" fillId="0" borderId="0" xfId="2797" applyNumberFormat="1" applyFont="1"/>
    <xf numFmtId="165" fontId="44" fillId="0" borderId="0" xfId="2797" applyNumberFormat="1" applyFont="1"/>
    <xf numFmtId="165" fontId="49" fillId="0" borderId="0" xfId="2797" applyNumberFormat="1" applyFont="1"/>
    <xf numFmtId="166" fontId="44" fillId="0" borderId="10" xfId="0" applyNumberFormat="1" applyFont="1" applyBorder="1"/>
    <xf numFmtId="166" fontId="44" fillId="0" borderId="0" xfId="0" applyNumberFormat="1" applyFont="1"/>
    <xf numFmtId="0" fontId="48" fillId="0" borderId="0" xfId="0" applyFont="1" applyFill="1"/>
    <xf numFmtId="0" fontId="48" fillId="0" borderId="11" xfId="0" applyFont="1" applyBorder="1"/>
    <xf numFmtId="0" fontId="44" fillId="0" borderId="0" xfId="0" applyFont="1" applyAlignment="1">
      <alignment horizontal="left" indent="1"/>
    </xf>
    <xf numFmtId="0" fontId="48" fillId="0" borderId="0" xfId="0" applyFont="1" applyAlignment="1">
      <alignment horizontal="left" indent="1"/>
    </xf>
    <xf numFmtId="0" fontId="51" fillId="0" borderId="0" xfId="0" applyFont="1" applyAlignment="1">
      <alignment vertical="center"/>
    </xf>
    <xf numFmtId="0" fontId="52" fillId="0" borderId="0" xfId="0" applyFont="1" applyAlignment="1">
      <alignment horizontal="centerContinuous"/>
    </xf>
    <xf numFmtId="0" fontId="44" fillId="0" borderId="0" xfId="0" applyFont="1" applyAlignment="1">
      <alignment horizontal="right"/>
    </xf>
    <xf numFmtId="168" fontId="44" fillId="0" borderId="11" xfId="2799" applyNumberFormat="1" applyFont="1" applyBorder="1" applyAlignment="1">
      <alignment horizontal="right"/>
    </xf>
    <xf numFmtId="168" fontId="44" fillId="0" borderId="0" xfId="2799" applyNumberFormat="1" applyFont="1"/>
    <xf numFmtId="168" fontId="48" fillId="0" borderId="0" xfId="2799" applyNumberFormat="1" applyFont="1"/>
    <xf numFmtId="165" fontId="44" fillId="0" borderId="0" xfId="0" applyNumberFormat="1" applyFont="1" applyAlignment="1">
      <alignment horizontal="right"/>
    </xf>
    <xf numFmtId="0" fontId="44" fillId="0" borderId="0" xfId="0" applyFont="1" applyAlignment="1">
      <alignment horizontal="right" indent="2"/>
    </xf>
    <xf numFmtId="168" fontId="48" fillId="0" borderId="0" xfId="0" applyNumberFormat="1" applyFont="1" applyAlignment="1">
      <alignment horizontal="right" indent="2"/>
    </xf>
    <xf numFmtId="3" fontId="48" fillId="0" borderId="0" xfId="0" applyNumberFormat="1" applyFont="1" applyAlignment="1">
      <alignment horizontal="right" indent="2"/>
    </xf>
    <xf numFmtId="0" fontId="44" fillId="0" borderId="0" xfId="0" applyFont="1" applyFill="1"/>
    <xf numFmtId="166" fontId="44" fillId="0" borderId="0" xfId="2797" applyNumberFormat="1" applyFont="1"/>
    <xf numFmtId="0" fontId="0" fillId="0" borderId="0" xfId="0" applyAlignment="1">
      <alignment horizontal="center" wrapText="1"/>
    </xf>
    <xf numFmtId="0" fontId="15" fillId="0" borderId="0" xfId="0" applyFont="1" applyBorder="1" applyAlignment="1">
      <alignment horizontal="center" vertical="center" wrapText="1"/>
    </xf>
    <xf numFmtId="0" fontId="48" fillId="0" borderId="0" xfId="0" applyFont="1" applyBorder="1" applyAlignment="1">
      <alignment horizontal="center" vertical="center"/>
    </xf>
    <xf numFmtId="166" fontId="44" fillId="0" borderId="0" xfId="0" applyNumberFormat="1" applyFont="1" applyBorder="1"/>
    <xf numFmtId="0" fontId="15" fillId="0" borderId="11" xfId="0" applyFont="1" applyBorder="1" applyAlignment="1">
      <alignment horizontal="centerContinuous"/>
    </xf>
    <xf numFmtId="0" fontId="53" fillId="0" borderId="0" xfId="0" applyFont="1" applyAlignment="1">
      <alignment horizontal="centerContinuous"/>
    </xf>
    <xf numFmtId="10" fontId="0" fillId="0" borderId="0" xfId="2799" applyNumberFormat="1" applyFont="1" applyFill="1"/>
    <xf numFmtId="10" fontId="0" fillId="0" borderId="0" xfId="2799" applyNumberFormat="1" applyFont="1"/>
    <xf numFmtId="0" fontId="48" fillId="0" borderId="0" xfId="0" applyFont="1" applyBorder="1" applyAlignment="1">
      <alignment horizontal="center" vertical="center" wrapText="1"/>
    </xf>
    <xf numFmtId="0" fontId="48" fillId="0" borderId="11" xfId="0" applyFont="1" applyBorder="1" applyAlignment="1">
      <alignment horizontal="centerContinuous" vertical="center"/>
    </xf>
    <xf numFmtId="0" fontId="15" fillId="0" borderId="0" xfId="0" applyFont="1" applyBorder="1" applyAlignment="1">
      <alignment horizontal="left" wrapText="1"/>
    </xf>
    <xf numFmtId="0" fontId="44" fillId="0" borderId="0" xfId="0" applyFont="1" applyFill="1" applyBorder="1" applyAlignment="1">
      <alignment horizontal="right"/>
    </xf>
    <xf numFmtId="166" fontId="0" fillId="0" borderId="0" xfId="2797" applyNumberFormat="1" applyFont="1" applyBorder="1"/>
    <xf numFmtId="0" fontId="44" fillId="0" borderId="0" xfId="0" applyFont="1" applyFill="1" applyBorder="1"/>
    <xf numFmtId="166" fontId="44" fillId="0" borderId="0" xfId="2797" applyNumberFormat="1" applyFont="1" applyFill="1" applyBorder="1" applyAlignment="1">
      <alignment horizontal="right"/>
    </xf>
    <xf numFmtId="165" fontId="44" fillId="0" borderId="0" xfId="0" applyNumberFormat="1" applyFont="1" applyFill="1" applyBorder="1" applyAlignment="1">
      <alignment horizontal="right"/>
    </xf>
    <xf numFmtId="166" fontId="0" fillId="0" borderId="0" xfId="0" applyNumberFormat="1" applyBorder="1"/>
    <xf numFmtId="166" fontId="49" fillId="0" borderId="0" xfId="2797" applyNumberFormat="1" applyFont="1" applyBorder="1"/>
    <xf numFmtId="10" fontId="0" fillId="0" borderId="0" xfId="2799" applyNumberFormat="1" applyFont="1" applyFill="1" applyBorder="1"/>
    <xf numFmtId="10" fontId="0" fillId="0" borderId="0" xfId="2799" applyNumberFormat="1" applyFont="1" applyBorder="1"/>
    <xf numFmtId="43" fontId="0" fillId="0" borderId="0" xfId="2797" applyFont="1" applyFill="1" applyBorder="1"/>
    <xf numFmtId="43" fontId="0" fillId="0" borderId="0" xfId="0" applyNumberFormat="1" applyBorder="1"/>
    <xf numFmtId="0" fontId="44" fillId="0" borderId="11" xfId="0" applyFont="1" applyFill="1" applyBorder="1"/>
    <xf numFmtId="0" fontId="44" fillId="0" borderId="11" xfId="0" applyFont="1" applyFill="1" applyBorder="1" applyAlignment="1">
      <alignment horizontal="right"/>
    </xf>
    <xf numFmtId="0" fontId="44" fillId="0" borderId="10" xfId="0" applyFont="1" applyFill="1" applyBorder="1"/>
    <xf numFmtId="10" fontId="44" fillId="0" borderId="10" xfId="2799" applyNumberFormat="1" applyFont="1" applyFill="1" applyBorder="1" applyAlignment="1">
      <alignment horizontal="right"/>
    </xf>
    <xf numFmtId="10" fontId="44" fillId="0" borderId="11" xfId="2799" applyNumberFormat="1" applyFont="1" applyFill="1" applyBorder="1" applyAlignment="1">
      <alignment horizontal="right"/>
    </xf>
    <xf numFmtId="0" fontId="44" fillId="0" borderId="10" xfId="0" applyFont="1" applyFill="1" applyBorder="1" applyAlignment="1">
      <alignment horizontal="right"/>
    </xf>
    <xf numFmtId="43" fontId="47" fillId="0" borderId="10" xfId="0" applyNumberFormat="1" applyFont="1" applyFill="1" applyBorder="1" applyAlignment="1">
      <alignment horizontal="right"/>
    </xf>
    <xf numFmtId="14" fontId="44" fillId="0" borderId="11" xfId="0" applyNumberFormat="1" applyFont="1" applyBorder="1"/>
    <xf numFmtId="171" fontId="44" fillId="0" borderId="0" xfId="0" applyNumberFormat="1" applyFont="1"/>
    <xf numFmtId="171" fontId="48" fillId="0" borderId="0" xfId="0" applyNumberFormat="1" applyFont="1"/>
    <xf numFmtId="171" fontId="44" fillId="0" borderId="0" xfId="2797" applyNumberFormat="1" applyFont="1"/>
    <xf numFmtId="171" fontId="48" fillId="0" borderId="0" xfId="2797" applyNumberFormat="1" applyFont="1"/>
    <xf numFmtId="168" fontId="44" fillId="0" borderId="0" xfId="0" applyNumberFormat="1" applyFont="1"/>
    <xf numFmtId="168" fontId="48" fillId="0" borderId="0" xfId="0" applyNumberFormat="1" applyFont="1"/>
    <xf numFmtId="172" fontId="44" fillId="0" borderId="0" xfId="2797" applyNumberFormat="1" applyFont="1" applyFill="1"/>
    <xf numFmtId="172" fontId="48" fillId="0" borderId="0" xfId="2797" applyNumberFormat="1" applyFont="1" applyFill="1"/>
    <xf numFmtId="167" fontId="48" fillId="0" borderId="0" xfId="0" applyNumberFormat="1" applyFont="1"/>
    <xf numFmtId="165" fontId="48" fillId="0" borderId="0" xfId="0" applyNumberFormat="1" applyFont="1"/>
    <xf numFmtId="171" fontId="44" fillId="0" borderId="0" xfId="0" applyNumberFormat="1" applyFont="1" applyAlignment="1">
      <alignment horizontal="right" indent="2"/>
    </xf>
    <xf numFmtId="168" fontId="44" fillId="0" borderId="0" xfId="0" applyNumberFormat="1" applyFont="1" applyAlignment="1">
      <alignment horizontal="right" indent="2"/>
    </xf>
    <xf numFmtId="171" fontId="48" fillId="0" borderId="0" xfId="0" applyNumberFormat="1" applyFont="1" applyAlignment="1">
      <alignment horizontal="right" indent="2"/>
    </xf>
    <xf numFmtId="166" fontId="44" fillId="0" borderId="0" xfId="2797" applyNumberFormat="1" applyFont="1" applyFill="1"/>
    <xf numFmtId="166" fontId="48" fillId="0" borderId="0" xfId="2797" applyNumberFormat="1" applyFont="1" applyFill="1"/>
    <xf numFmtId="168" fontId="48" fillId="0" borderId="0" xfId="0" applyNumberFormat="1" applyFont="1" applyFill="1"/>
    <xf numFmtId="168" fontId="48" fillId="0" borderId="11" xfId="0" applyNumberFormat="1" applyFont="1" applyFill="1" applyBorder="1"/>
    <xf numFmtId="166" fontId="48" fillId="0" borderId="11" xfId="2797" applyNumberFormat="1" applyFont="1" applyFill="1" applyBorder="1"/>
    <xf numFmtId="166" fontId="44" fillId="0" borderId="0" xfId="0" applyNumberFormat="1" applyFont="1" applyAlignment="1"/>
    <xf numFmtId="169" fontId="44" fillId="0" borderId="0" xfId="2798" applyNumberFormat="1" applyFont="1"/>
    <xf numFmtId="43" fontId="44" fillId="0" borderId="0" xfId="0" applyNumberFormat="1" applyFont="1" applyFill="1" applyAlignment="1">
      <alignment horizontal="right"/>
    </xf>
    <xf numFmtId="0" fontId="0" fillId="0" borderId="0" xfId="0" applyFont="1" applyAlignment="1">
      <alignment horizontal="left" vertical="center" wrapText="1"/>
    </xf>
    <xf numFmtId="0" fontId="51" fillId="0" borderId="0" xfId="0" applyFont="1" applyAlignment="1">
      <alignment horizontal="left" vertical="center"/>
    </xf>
    <xf numFmtId="0" fontId="46" fillId="0" borderId="0" xfId="0" applyFont="1" applyAlignment="1">
      <alignment horizontal="left" vertical="center" wrapText="1"/>
    </xf>
    <xf numFmtId="0" fontId="0" fillId="0" borderId="0" xfId="0" applyFont="1" applyAlignment="1">
      <alignment horizontal="left" wrapText="1"/>
    </xf>
    <xf numFmtId="0" fontId="0" fillId="0" borderId="0" xfId="0" applyAlignment="1">
      <alignment wrapText="1"/>
    </xf>
    <xf numFmtId="0" fontId="0" fillId="0" borderId="0" xfId="0" applyAlignment="1">
      <alignment horizontal="left" wrapText="1"/>
    </xf>
    <xf numFmtId="0" fontId="53" fillId="0" borderId="0" xfId="0" applyFont="1" applyAlignment="1">
      <alignment horizontal="center"/>
    </xf>
    <xf numFmtId="0" fontId="15" fillId="0" borderId="0" xfId="0" applyFont="1" applyBorder="1" applyAlignment="1">
      <alignment horizontal="center" vertical="center" wrapText="1"/>
    </xf>
    <xf numFmtId="0" fontId="15" fillId="0" borderId="0" xfId="0" applyFont="1" applyBorder="1" applyAlignment="1">
      <alignment horizontal="center" vertical="center"/>
    </xf>
    <xf numFmtId="0" fontId="48" fillId="0" borderId="0" xfId="0" applyFont="1" applyBorder="1" applyAlignment="1">
      <alignment horizontal="center" vertical="center"/>
    </xf>
    <xf numFmtId="0" fontId="44" fillId="0" borderId="0" xfId="0" applyFont="1" applyBorder="1" applyAlignment="1">
      <alignment horizontal="center" vertical="center"/>
    </xf>
    <xf numFmtId="0" fontId="53" fillId="0" borderId="0" xfId="0" applyFont="1" applyBorder="1" applyAlignment="1">
      <alignment horizontal="center"/>
    </xf>
  </cellXfs>
  <cellStyles count="2824">
    <cellStyle name="20% - Accent1" xfId="18" builtinId="30" customBuiltin="1"/>
    <cellStyle name="20% - Accent2" xfId="22" builtinId="34" customBuiltin="1"/>
    <cellStyle name="20% - Accent3" xfId="26" builtinId="38" customBuiltin="1"/>
    <cellStyle name="20% - Accent4" xfId="30" builtinId="42" customBuiltin="1"/>
    <cellStyle name="20% - Accent5" xfId="34" builtinId="46" customBuiltin="1"/>
    <cellStyle name="20% - Accent6" xfId="38" builtinId="50" customBuiltin="1"/>
    <cellStyle name="40% - Accent1" xfId="19" builtinId="31" customBuiltin="1"/>
    <cellStyle name="40% - Accent2" xfId="23" builtinId="35" customBuiltin="1"/>
    <cellStyle name="40% - Accent3" xfId="27" builtinId="39" customBuiltin="1"/>
    <cellStyle name="40% - Accent4" xfId="31" builtinId="43" customBuiltin="1"/>
    <cellStyle name="40% - Accent5" xfId="35" builtinId="47" customBuiltin="1"/>
    <cellStyle name="40% - Accent6" xfId="39" builtinId="51" customBuiltin="1"/>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6" builtinId="27" customBuiltin="1"/>
    <cellStyle name="Calculation" xfId="10" builtinId="22" customBuiltin="1"/>
    <cellStyle name="Check Cell" xfId="12" builtinId="23" customBuiltin="1"/>
    <cellStyle name="Comma" xfId="2797" builtinId="3"/>
    <cellStyle name="Comma [0] 2" xfId="44"/>
    <cellStyle name="Comma [0] 2 10" xfId="45"/>
    <cellStyle name="Comma [0] 2 11" xfId="46"/>
    <cellStyle name="Comma [0] 2 12" xfId="47"/>
    <cellStyle name="Comma [0] 2 13" xfId="48"/>
    <cellStyle name="Comma [0] 2 14" xfId="49"/>
    <cellStyle name="Comma [0] 2 15" xfId="50"/>
    <cellStyle name="Comma [0] 2 16" xfId="51"/>
    <cellStyle name="Comma [0] 2 17" xfId="52"/>
    <cellStyle name="Comma [0] 2 18" xfId="53"/>
    <cellStyle name="Comma [0] 2 19" xfId="54"/>
    <cellStyle name="Comma [0] 2 2" xfId="55"/>
    <cellStyle name="Comma [0] 2 20" xfId="56"/>
    <cellStyle name="Comma [0] 2 21" xfId="57"/>
    <cellStyle name="Comma [0] 2 22" xfId="58"/>
    <cellStyle name="Comma [0] 2 23" xfId="59"/>
    <cellStyle name="Comma [0] 2 24" xfId="60"/>
    <cellStyle name="Comma [0] 2 25" xfId="61"/>
    <cellStyle name="Comma [0] 2 26" xfId="62"/>
    <cellStyle name="Comma [0] 2 27" xfId="63"/>
    <cellStyle name="Comma [0] 2 28" xfId="64"/>
    <cellStyle name="Comma [0] 2 29" xfId="65"/>
    <cellStyle name="Comma [0] 2 3" xfId="66"/>
    <cellStyle name="Comma [0] 2 30" xfId="67"/>
    <cellStyle name="Comma [0] 2 31" xfId="68"/>
    <cellStyle name="Comma [0] 2 32" xfId="69"/>
    <cellStyle name="Comma [0] 2 33" xfId="70"/>
    <cellStyle name="Comma [0] 2 34" xfId="71"/>
    <cellStyle name="Comma [0] 2 35" xfId="72"/>
    <cellStyle name="Comma [0] 2 36" xfId="73"/>
    <cellStyle name="Comma [0] 2 37" xfId="74"/>
    <cellStyle name="Comma [0] 2 38" xfId="75"/>
    <cellStyle name="Comma [0] 2 39" xfId="76"/>
    <cellStyle name="Comma [0] 2 4" xfId="77"/>
    <cellStyle name="Comma [0] 2 40" xfId="78"/>
    <cellStyle name="Comma [0] 2 41" xfId="79"/>
    <cellStyle name="Comma [0] 2 42" xfId="80"/>
    <cellStyle name="Comma [0] 2 43" xfId="81"/>
    <cellStyle name="Comma [0] 2 44" xfId="82"/>
    <cellStyle name="Comma [0] 2 45" xfId="83"/>
    <cellStyle name="Comma [0] 2 46" xfId="84"/>
    <cellStyle name="Comma [0] 2 47" xfId="85"/>
    <cellStyle name="Comma [0] 2 48" xfId="86"/>
    <cellStyle name="Comma [0] 2 49" xfId="87"/>
    <cellStyle name="Comma [0] 2 5" xfId="88"/>
    <cellStyle name="Comma [0] 2 50" xfId="89"/>
    <cellStyle name="Comma [0] 2 51" xfId="90"/>
    <cellStyle name="Comma [0] 2 52" xfId="91"/>
    <cellStyle name="Comma [0] 2 53" xfId="92"/>
    <cellStyle name="Comma [0] 2 54" xfId="93"/>
    <cellStyle name="Comma [0] 2 55" xfId="94"/>
    <cellStyle name="Comma [0] 2 56" xfId="95"/>
    <cellStyle name="Comma [0] 2 57" xfId="96"/>
    <cellStyle name="Comma [0] 2 58" xfId="97"/>
    <cellStyle name="Comma [0] 2 59" xfId="98"/>
    <cellStyle name="Comma [0] 2 6" xfId="99"/>
    <cellStyle name="Comma [0] 2 60" xfId="100"/>
    <cellStyle name="Comma [0] 2 61" xfId="101"/>
    <cellStyle name="Comma [0] 2 62" xfId="102"/>
    <cellStyle name="Comma [0] 2 63" xfId="103"/>
    <cellStyle name="Comma [0] 2 7" xfId="104"/>
    <cellStyle name="Comma [0] 2 8" xfId="105"/>
    <cellStyle name="Comma [0] 2 9" xfId="106"/>
    <cellStyle name="Comma 10" xfId="107"/>
    <cellStyle name="Comma 11" xfId="108"/>
    <cellStyle name="Comma 11 10" xfId="109"/>
    <cellStyle name="Comma 11 11" xfId="110"/>
    <cellStyle name="Comma 11 12" xfId="111"/>
    <cellStyle name="Comma 11 13" xfId="112"/>
    <cellStyle name="Comma 11 14" xfId="113"/>
    <cellStyle name="Comma 11 15" xfId="114"/>
    <cellStyle name="Comma 11 16" xfId="115"/>
    <cellStyle name="Comma 11 17" xfId="116"/>
    <cellStyle name="Comma 11 18" xfId="117"/>
    <cellStyle name="Comma 11 19" xfId="118"/>
    <cellStyle name="Comma 11 2" xfId="119"/>
    <cellStyle name="Comma 11 20" xfId="120"/>
    <cellStyle name="Comma 11 21" xfId="121"/>
    <cellStyle name="Comma 11 22" xfId="122"/>
    <cellStyle name="Comma 11 23" xfId="123"/>
    <cellStyle name="Comma 11 24" xfId="124"/>
    <cellStyle name="Comma 11 25" xfId="125"/>
    <cellStyle name="Comma 11 26" xfId="126"/>
    <cellStyle name="Comma 11 27" xfId="127"/>
    <cellStyle name="Comma 11 28" xfId="128"/>
    <cellStyle name="Comma 11 29" xfId="129"/>
    <cellStyle name="Comma 11 3" xfId="130"/>
    <cellStyle name="Comma 11 30" xfId="131"/>
    <cellStyle name="Comma 11 31" xfId="132"/>
    <cellStyle name="Comma 11 32" xfId="133"/>
    <cellStyle name="Comma 11 33" xfId="134"/>
    <cellStyle name="Comma 11 34" xfId="135"/>
    <cellStyle name="Comma 11 35" xfId="136"/>
    <cellStyle name="Comma 11 36" xfId="137"/>
    <cellStyle name="Comma 11 37" xfId="138"/>
    <cellStyle name="Comma 11 38" xfId="139"/>
    <cellStyle name="Comma 11 39" xfId="140"/>
    <cellStyle name="Comma 11 4" xfId="141"/>
    <cellStyle name="Comma 11 40" xfId="142"/>
    <cellStyle name="Comma 11 41" xfId="143"/>
    <cellStyle name="Comma 11 42" xfId="144"/>
    <cellStyle name="Comma 11 43" xfId="145"/>
    <cellStyle name="Comma 11 44" xfId="146"/>
    <cellStyle name="Comma 11 45" xfId="147"/>
    <cellStyle name="Comma 11 46" xfId="148"/>
    <cellStyle name="Comma 11 47" xfId="149"/>
    <cellStyle name="Comma 11 48" xfId="150"/>
    <cellStyle name="Comma 11 49" xfId="151"/>
    <cellStyle name="Comma 11 5" xfId="152"/>
    <cellStyle name="Comma 11 50" xfId="153"/>
    <cellStyle name="Comma 11 51" xfId="154"/>
    <cellStyle name="Comma 11 52" xfId="155"/>
    <cellStyle name="Comma 11 53" xfId="156"/>
    <cellStyle name="Comma 11 54" xfId="157"/>
    <cellStyle name="Comma 11 55" xfId="158"/>
    <cellStyle name="Comma 11 56" xfId="159"/>
    <cellStyle name="Comma 11 57" xfId="160"/>
    <cellStyle name="Comma 11 58" xfId="161"/>
    <cellStyle name="Comma 11 59" xfId="162"/>
    <cellStyle name="Comma 11 6" xfId="163"/>
    <cellStyle name="Comma 11 60" xfId="164"/>
    <cellStyle name="Comma 11 61" xfId="165"/>
    <cellStyle name="Comma 11 62" xfId="166"/>
    <cellStyle name="Comma 11 63" xfId="167"/>
    <cellStyle name="Comma 11 7" xfId="168"/>
    <cellStyle name="Comma 11 8" xfId="169"/>
    <cellStyle name="Comma 11 9" xfId="170"/>
    <cellStyle name="Comma 12" xfId="171"/>
    <cellStyle name="Comma 12 10" xfId="172"/>
    <cellStyle name="Comma 12 11" xfId="173"/>
    <cellStyle name="Comma 12 12" xfId="174"/>
    <cellStyle name="Comma 12 13" xfId="175"/>
    <cellStyle name="Comma 12 14" xfId="176"/>
    <cellStyle name="Comma 12 15" xfId="177"/>
    <cellStyle name="Comma 12 16" xfId="178"/>
    <cellStyle name="Comma 12 17" xfId="179"/>
    <cellStyle name="Comma 12 18" xfId="180"/>
    <cellStyle name="Comma 12 19" xfId="181"/>
    <cellStyle name="Comma 12 2" xfId="182"/>
    <cellStyle name="Comma 12 20" xfId="183"/>
    <cellStyle name="Comma 12 21" xfId="184"/>
    <cellStyle name="Comma 12 22" xfId="185"/>
    <cellStyle name="Comma 12 23" xfId="186"/>
    <cellStyle name="Comma 12 24" xfId="187"/>
    <cellStyle name="Comma 12 25" xfId="188"/>
    <cellStyle name="Comma 12 26" xfId="189"/>
    <cellStyle name="Comma 12 27" xfId="190"/>
    <cellStyle name="Comma 12 28" xfId="191"/>
    <cellStyle name="Comma 12 29" xfId="192"/>
    <cellStyle name="Comma 12 3" xfId="193"/>
    <cellStyle name="Comma 12 30" xfId="194"/>
    <cellStyle name="Comma 12 31" xfId="195"/>
    <cellStyle name="Comma 12 32" xfId="196"/>
    <cellStyle name="Comma 12 33" xfId="197"/>
    <cellStyle name="Comma 12 34" xfId="198"/>
    <cellStyle name="Comma 12 35" xfId="199"/>
    <cellStyle name="Comma 12 36" xfId="200"/>
    <cellStyle name="Comma 12 37" xfId="201"/>
    <cellStyle name="Comma 12 38" xfId="202"/>
    <cellStyle name="Comma 12 39" xfId="203"/>
    <cellStyle name="Comma 12 4" xfId="204"/>
    <cellStyle name="Comma 12 40" xfId="205"/>
    <cellStyle name="Comma 12 41" xfId="206"/>
    <cellStyle name="Comma 12 42" xfId="207"/>
    <cellStyle name="Comma 12 43" xfId="208"/>
    <cellStyle name="Comma 12 44" xfId="209"/>
    <cellStyle name="Comma 12 45" xfId="210"/>
    <cellStyle name="Comma 12 46" xfId="211"/>
    <cellStyle name="Comma 12 47" xfId="212"/>
    <cellStyle name="Comma 12 48" xfId="213"/>
    <cellStyle name="Comma 12 49" xfId="214"/>
    <cellStyle name="Comma 12 5" xfId="215"/>
    <cellStyle name="Comma 12 50" xfId="216"/>
    <cellStyle name="Comma 12 51" xfId="217"/>
    <cellStyle name="Comma 12 52" xfId="218"/>
    <cellStyle name="Comma 12 53" xfId="219"/>
    <cellStyle name="Comma 12 54" xfId="220"/>
    <cellStyle name="Comma 12 55" xfId="221"/>
    <cellStyle name="Comma 12 56" xfId="222"/>
    <cellStyle name="Comma 12 57" xfId="223"/>
    <cellStyle name="Comma 12 58" xfId="224"/>
    <cellStyle name="Comma 12 59" xfId="225"/>
    <cellStyle name="Comma 12 6" xfId="226"/>
    <cellStyle name="Comma 12 60" xfId="227"/>
    <cellStyle name="Comma 12 61" xfId="228"/>
    <cellStyle name="Comma 12 62" xfId="229"/>
    <cellStyle name="Comma 12 63" xfId="230"/>
    <cellStyle name="Comma 12 64" xfId="231"/>
    <cellStyle name="Comma 12 7" xfId="232"/>
    <cellStyle name="Comma 12 8" xfId="233"/>
    <cellStyle name="Comma 12 9" xfId="234"/>
    <cellStyle name="Comma 13" xfId="235"/>
    <cellStyle name="Comma 14" xfId="236"/>
    <cellStyle name="Comma 14 10" xfId="237"/>
    <cellStyle name="Comma 14 11" xfId="238"/>
    <cellStyle name="Comma 14 12" xfId="239"/>
    <cellStyle name="Comma 14 13" xfId="240"/>
    <cellStyle name="Comma 14 14" xfId="241"/>
    <cellStyle name="Comma 14 15" xfId="242"/>
    <cellStyle name="Comma 14 16" xfId="243"/>
    <cellStyle name="Comma 14 17" xfId="244"/>
    <cellStyle name="Comma 14 18" xfId="245"/>
    <cellStyle name="Comma 14 19" xfId="246"/>
    <cellStyle name="Comma 14 2" xfId="247"/>
    <cellStyle name="Comma 14 20" xfId="248"/>
    <cellStyle name="Comma 14 21" xfId="249"/>
    <cellStyle name="Comma 14 22" xfId="250"/>
    <cellStyle name="Comma 14 23" xfId="251"/>
    <cellStyle name="Comma 14 24" xfId="252"/>
    <cellStyle name="Comma 14 25" xfId="253"/>
    <cellStyle name="Comma 14 26" xfId="254"/>
    <cellStyle name="Comma 14 27" xfId="255"/>
    <cellStyle name="Comma 14 28" xfId="256"/>
    <cellStyle name="Comma 14 29" xfId="257"/>
    <cellStyle name="Comma 14 3" xfId="258"/>
    <cellStyle name="Comma 14 30" xfId="259"/>
    <cellStyle name="Comma 14 31" xfId="260"/>
    <cellStyle name="Comma 14 32" xfId="261"/>
    <cellStyle name="Comma 14 33" xfId="262"/>
    <cellStyle name="Comma 14 34" xfId="263"/>
    <cellStyle name="Comma 14 35" xfId="264"/>
    <cellStyle name="Comma 14 36" xfId="265"/>
    <cellStyle name="Comma 14 37" xfId="266"/>
    <cellStyle name="Comma 14 38" xfId="267"/>
    <cellStyle name="Comma 14 39" xfId="268"/>
    <cellStyle name="Comma 14 4" xfId="269"/>
    <cellStyle name="Comma 14 40" xfId="270"/>
    <cellStyle name="Comma 14 41" xfId="271"/>
    <cellStyle name="Comma 14 42" xfId="272"/>
    <cellStyle name="Comma 14 43" xfId="273"/>
    <cellStyle name="Comma 14 44" xfId="274"/>
    <cellStyle name="Comma 14 45" xfId="275"/>
    <cellStyle name="Comma 14 46" xfId="276"/>
    <cellStyle name="Comma 14 47" xfId="277"/>
    <cellStyle name="Comma 14 48" xfId="278"/>
    <cellStyle name="Comma 14 49" xfId="279"/>
    <cellStyle name="Comma 14 5" xfId="280"/>
    <cellStyle name="Comma 14 50" xfId="281"/>
    <cellStyle name="Comma 14 51" xfId="282"/>
    <cellStyle name="Comma 14 52" xfId="283"/>
    <cellStyle name="Comma 14 53" xfId="284"/>
    <cellStyle name="Comma 14 54" xfId="285"/>
    <cellStyle name="Comma 14 55" xfId="286"/>
    <cellStyle name="Comma 14 56" xfId="287"/>
    <cellStyle name="Comma 14 57" xfId="288"/>
    <cellStyle name="Comma 14 58" xfId="289"/>
    <cellStyle name="Comma 14 59" xfId="290"/>
    <cellStyle name="Comma 14 6" xfId="291"/>
    <cellStyle name="Comma 14 60" xfId="292"/>
    <cellStyle name="Comma 14 61" xfId="293"/>
    <cellStyle name="Comma 14 62" xfId="294"/>
    <cellStyle name="Comma 14 63" xfId="295"/>
    <cellStyle name="Comma 14 7" xfId="296"/>
    <cellStyle name="Comma 14 8" xfId="297"/>
    <cellStyle name="Comma 14 9" xfId="298"/>
    <cellStyle name="Comma 15" xfId="299"/>
    <cellStyle name="Comma 15 10" xfId="300"/>
    <cellStyle name="Comma 15 11" xfId="301"/>
    <cellStyle name="Comma 15 12" xfId="302"/>
    <cellStyle name="Comma 15 13" xfId="303"/>
    <cellStyle name="Comma 15 14" xfId="304"/>
    <cellStyle name="Comma 15 15" xfId="305"/>
    <cellStyle name="Comma 15 16" xfId="306"/>
    <cellStyle name="Comma 15 17" xfId="307"/>
    <cellStyle name="Comma 15 18" xfId="308"/>
    <cellStyle name="Comma 15 19" xfId="309"/>
    <cellStyle name="Comma 15 2" xfId="310"/>
    <cellStyle name="Comma 15 20" xfId="311"/>
    <cellStyle name="Comma 15 21" xfId="312"/>
    <cellStyle name="Comma 15 22" xfId="313"/>
    <cellStyle name="Comma 15 23" xfId="314"/>
    <cellStyle name="Comma 15 24" xfId="315"/>
    <cellStyle name="Comma 15 25" xfId="316"/>
    <cellStyle name="Comma 15 26" xfId="317"/>
    <cellStyle name="Comma 15 27" xfId="318"/>
    <cellStyle name="Comma 15 28" xfId="319"/>
    <cellStyle name="Comma 15 29" xfId="320"/>
    <cellStyle name="Comma 15 3" xfId="321"/>
    <cellStyle name="Comma 15 3 10" xfId="322"/>
    <cellStyle name="Comma 15 3 11" xfId="323"/>
    <cellStyle name="Comma 15 3 12" xfId="324"/>
    <cellStyle name="Comma 15 3 13" xfId="325"/>
    <cellStyle name="Comma 15 3 14" xfId="326"/>
    <cellStyle name="Comma 15 3 15" xfId="327"/>
    <cellStyle name="Comma 15 3 16" xfId="328"/>
    <cellStyle name="Comma 15 3 17" xfId="329"/>
    <cellStyle name="Comma 15 3 18" xfId="330"/>
    <cellStyle name="Comma 15 3 19" xfId="331"/>
    <cellStyle name="Comma 15 3 2" xfId="332"/>
    <cellStyle name="Comma 15 3 20" xfId="333"/>
    <cellStyle name="Comma 15 3 21" xfId="334"/>
    <cellStyle name="Comma 15 3 22" xfId="335"/>
    <cellStyle name="Comma 15 3 23" xfId="336"/>
    <cellStyle name="Comma 15 3 24" xfId="337"/>
    <cellStyle name="Comma 15 3 25" xfId="338"/>
    <cellStyle name="Comma 15 3 26" xfId="339"/>
    <cellStyle name="Comma 15 3 3" xfId="340"/>
    <cellStyle name="Comma 15 3 4" xfId="341"/>
    <cellStyle name="Comma 15 3 5" xfId="342"/>
    <cellStyle name="Comma 15 3 6" xfId="343"/>
    <cellStyle name="Comma 15 3 7" xfId="344"/>
    <cellStyle name="Comma 15 3 8" xfId="345"/>
    <cellStyle name="Comma 15 3 9" xfId="346"/>
    <cellStyle name="Comma 15 30" xfId="347"/>
    <cellStyle name="Comma 15 31" xfId="348"/>
    <cellStyle name="Comma 15 32" xfId="349"/>
    <cellStyle name="Comma 15 33" xfId="350"/>
    <cellStyle name="Comma 15 34" xfId="351"/>
    <cellStyle name="Comma 15 35" xfId="352"/>
    <cellStyle name="Comma 15 36" xfId="353"/>
    <cellStyle name="Comma 15 37" xfId="354"/>
    <cellStyle name="Comma 15 38" xfId="355"/>
    <cellStyle name="Comma 15 39" xfId="356"/>
    <cellStyle name="Comma 15 4" xfId="357"/>
    <cellStyle name="Comma 15 40" xfId="358"/>
    <cellStyle name="Comma 15 41" xfId="359"/>
    <cellStyle name="Comma 15 42" xfId="360"/>
    <cellStyle name="Comma 15 43" xfId="361"/>
    <cellStyle name="Comma 15 44" xfId="362"/>
    <cellStyle name="Comma 15 45" xfId="363"/>
    <cellStyle name="Comma 15 46" xfId="364"/>
    <cellStyle name="Comma 15 47" xfId="365"/>
    <cellStyle name="Comma 15 48" xfId="366"/>
    <cellStyle name="Comma 15 49" xfId="367"/>
    <cellStyle name="Comma 15 5" xfId="368"/>
    <cellStyle name="Comma 15 5 10" xfId="369"/>
    <cellStyle name="Comma 15 5 11" xfId="370"/>
    <cellStyle name="Comma 15 5 12" xfId="371"/>
    <cellStyle name="Comma 15 5 13" xfId="372"/>
    <cellStyle name="Comma 15 5 14" xfId="373"/>
    <cellStyle name="Comma 15 5 15" xfId="374"/>
    <cellStyle name="Comma 15 5 16" xfId="375"/>
    <cellStyle name="Comma 15 5 17" xfId="376"/>
    <cellStyle name="Comma 15 5 18" xfId="377"/>
    <cellStyle name="Comma 15 5 19" xfId="378"/>
    <cellStyle name="Comma 15 5 2" xfId="379"/>
    <cellStyle name="Comma 15 5 20" xfId="380"/>
    <cellStyle name="Comma 15 5 21" xfId="381"/>
    <cellStyle name="Comma 15 5 22" xfId="382"/>
    <cellStyle name="Comma 15 5 23" xfId="383"/>
    <cellStyle name="Comma 15 5 24" xfId="384"/>
    <cellStyle name="Comma 15 5 25" xfId="385"/>
    <cellStyle name="Comma 15 5 26" xfId="386"/>
    <cellStyle name="Comma 15 5 27" xfId="387"/>
    <cellStyle name="Comma 15 5 28" xfId="388"/>
    <cellStyle name="Comma 15 5 29" xfId="389"/>
    <cellStyle name="Comma 15 5 3" xfId="390"/>
    <cellStyle name="Comma 15 5 30" xfId="391"/>
    <cellStyle name="Comma 15 5 31" xfId="392"/>
    <cellStyle name="Comma 15 5 32" xfId="393"/>
    <cellStyle name="Comma 15 5 33" xfId="394"/>
    <cellStyle name="Comma 15 5 34" xfId="395"/>
    <cellStyle name="Comma 15 5 35" xfId="396"/>
    <cellStyle name="Comma 15 5 36" xfId="397"/>
    <cellStyle name="Comma 15 5 37" xfId="398"/>
    <cellStyle name="Comma 15 5 38" xfId="399"/>
    <cellStyle name="Comma 15 5 39" xfId="400"/>
    <cellStyle name="Comma 15 5 4" xfId="401"/>
    <cellStyle name="Comma 15 5 40" xfId="402"/>
    <cellStyle name="Comma 15 5 41" xfId="403"/>
    <cellStyle name="Comma 15 5 42" xfId="404"/>
    <cellStyle name="Comma 15 5 43" xfId="405"/>
    <cellStyle name="Comma 15 5 44" xfId="406"/>
    <cellStyle name="Comma 15 5 45" xfId="407"/>
    <cellStyle name="Comma 15 5 46" xfId="408"/>
    <cellStyle name="Comma 15 5 47" xfId="409"/>
    <cellStyle name="Comma 15 5 48" xfId="410"/>
    <cellStyle name="Comma 15 5 49" xfId="411"/>
    <cellStyle name="Comma 15 5 5" xfId="412"/>
    <cellStyle name="Comma 15 5 50" xfId="413"/>
    <cellStyle name="Comma 15 5 51" xfId="414"/>
    <cellStyle name="Comma 15 5 52" xfId="415"/>
    <cellStyle name="Comma 15 5 53" xfId="416"/>
    <cellStyle name="Comma 15 5 54" xfId="417"/>
    <cellStyle name="Comma 15 5 55" xfId="418"/>
    <cellStyle name="Comma 15 5 56" xfId="419"/>
    <cellStyle name="Comma 15 5 57" xfId="420"/>
    <cellStyle name="Comma 15 5 58" xfId="421"/>
    <cellStyle name="Comma 15 5 59" xfId="422"/>
    <cellStyle name="Comma 15 5 6" xfId="423"/>
    <cellStyle name="Comma 15 5 60" xfId="424"/>
    <cellStyle name="Comma 15 5 61" xfId="425"/>
    <cellStyle name="Comma 15 5 62" xfId="426"/>
    <cellStyle name="Comma 15 5 63" xfId="427"/>
    <cellStyle name="Comma 15 5 64" xfId="428"/>
    <cellStyle name="Comma 15 5 65" xfId="429"/>
    <cellStyle name="Comma 15 5 66" xfId="430"/>
    <cellStyle name="Comma 15 5 67" xfId="431"/>
    <cellStyle name="Comma 15 5 68" xfId="432"/>
    <cellStyle name="Comma 15 5 69" xfId="433"/>
    <cellStyle name="Comma 15 5 7" xfId="434"/>
    <cellStyle name="Comma 15 5 70" xfId="435"/>
    <cellStyle name="Comma 15 5 71" xfId="436"/>
    <cellStyle name="Comma 15 5 8" xfId="437"/>
    <cellStyle name="Comma 15 5 9" xfId="438"/>
    <cellStyle name="Comma 15 50" xfId="439"/>
    <cellStyle name="Comma 15 51" xfId="440"/>
    <cellStyle name="Comma 15 52" xfId="441"/>
    <cellStyle name="Comma 15 53" xfId="442"/>
    <cellStyle name="Comma 15 54" xfId="443"/>
    <cellStyle name="Comma 15 55" xfId="444"/>
    <cellStyle name="Comma 15 56" xfId="445"/>
    <cellStyle name="Comma 15 57" xfId="446"/>
    <cellStyle name="Comma 15 58" xfId="447"/>
    <cellStyle name="Comma 15 59" xfId="448"/>
    <cellStyle name="Comma 15 6" xfId="449"/>
    <cellStyle name="Comma 15 60" xfId="450"/>
    <cellStyle name="Comma 15 60 2" xfId="451"/>
    <cellStyle name="Comma 15 60 3" xfId="452"/>
    <cellStyle name="Comma 15 60 3 2" xfId="453"/>
    <cellStyle name="Comma 15 61" xfId="454"/>
    <cellStyle name="Comma 15 62" xfId="455"/>
    <cellStyle name="Comma 15 63" xfId="456"/>
    <cellStyle name="Comma 15 64" xfId="457"/>
    <cellStyle name="Comma 15 65" xfId="458"/>
    <cellStyle name="Comma 15 66" xfId="459"/>
    <cellStyle name="Comma 15 67" xfId="460"/>
    <cellStyle name="Comma 15 68" xfId="461"/>
    <cellStyle name="Comma 15 69" xfId="462"/>
    <cellStyle name="Comma 15 7" xfId="463"/>
    <cellStyle name="Comma 15 70" xfId="464"/>
    <cellStyle name="Comma 15 71" xfId="465"/>
    <cellStyle name="Comma 15 72" xfId="466"/>
    <cellStyle name="Comma 15 73" xfId="467"/>
    <cellStyle name="Comma 15 74" xfId="468"/>
    <cellStyle name="Comma 15 8" xfId="469"/>
    <cellStyle name="Comma 15 9" xfId="470"/>
    <cellStyle name="Comma 16" xfId="471"/>
    <cellStyle name="Comma 17" xfId="472"/>
    <cellStyle name="Comma 18" xfId="473"/>
    <cellStyle name="Comma 19" xfId="474"/>
    <cellStyle name="Comma 2" xfId="475"/>
    <cellStyle name="Comma 2 2" xfId="476"/>
    <cellStyle name="Comma 2 2 2" xfId="477"/>
    <cellStyle name="Comma 2 3" xfId="478"/>
    <cellStyle name="Comma 2 4" xfId="479"/>
    <cellStyle name="Comma 2 56" xfId="480"/>
    <cellStyle name="Comma 20" xfId="481"/>
    <cellStyle name="Comma 21" xfId="482"/>
    <cellStyle name="Comma 22" xfId="483"/>
    <cellStyle name="Comma 23" xfId="484"/>
    <cellStyle name="Comma 24" xfId="485"/>
    <cellStyle name="Comma 25" xfId="486"/>
    <cellStyle name="Comma 26" xfId="487"/>
    <cellStyle name="Comma 27" xfId="488"/>
    <cellStyle name="Comma 28" xfId="489"/>
    <cellStyle name="Comma 29" xfId="490"/>
    <cellStyle name="Comma 3" xfId="491"/>
    <cellStyle name="Comma 3 10" xfId="492"/>
    <cellStyle name="Comma 3 11" xfId="493"/>
    <cellStyle name="Comma 3 12" xfId="494"/>
    <cellStyle name="Comma 3 13" xfId="495"/>
    <cellStyle name="Comma 3 14" xfId="496"/>
    <cellStyle name="Comma 3 15" xfId="497"/>
    <cellStyle name="Comma 3 16" xfId="498"/>
    <cellStyle name="Comma 3 17" xfId="499"/>
    <cellStyle name="Comma 3 18" xfId="500"/>
    <cellStyle name="Comma 3 19" xfId="501"/>
    <cellStyle name="Comma 3 2" xfId="502"/>
    <cellStyle name="Comma 3 20" xfId="503"/>
    <cellStyle name="Comma 3 21" xfId="504"/>
    <cellStyle name="Comma 3 22" xfId="505"/>
    <cellStyle name="Comma 3 23" xfId="506"/>
    <cellStyle name="Comma 3 24" xfId="507"/>
    <cellStyle name="Comma 3 25" xfId="508"/>
    <cellStyle name="Comma 3 26" xfId="509"/>
    <cellStyle name="Comma 3 27" xfId="510"/>
    <cellStyle name="Comma 3 28" xfId="511"/>
    <cellStyle name="Comma 3 29" xfId="512"/>
    <cellStyle name="Comma 3 3" xfId="513"/>
    <cellStyle name="Comma 3 30" xfId="514"/>
    <cellStyle name="Comma 3 31" xfId="515"/>
    <cellStyle name="Comma 3 32" xfId="516"/>
    <cellStyle name="Comma 3 33" xfId="517"/>
    <cellStyle name="Comma 3 34" xfId="518"/>
    <cellStyle name="Comma 3 35" xfId="519"/>
    <cellStyle name="Comma 3 36" xfId="520"/>
    <cellStyle name="Comma 3 37" xfId="521"/>
    <cellStyle name="Comma 3 38" xfId="522"/>
    <cellStyle name="Comma 3 39" xfId="523"/>
    <cellStyle name="Comma 3 4" xfId="524"/>
    <cellStyle name="Comma 3 40" xfId="525"/>
    <cellStyle name="Comma 3 41" xfId="526"/>
    <cellStyle name="Comma 3 42" xfId="527"/>
    <cellStyle name="Comma 3 43" xfId="528"/>
    <cellStyle name="Comma 3 44" xfId="529"/>
    <cellStyle name="Comma 3 45" xfId="530"/>
    <cellStyle name="Comma 3 46" xfId="531"/>
    <cellStyle name="Comma 3 47" xfId="532"/>
    <cellStyle name="Comma 3 48" xfId="533"/>
    <cellStyle name="Comma 3 49" xfId="534"/>
    <cellStyle name="Comma 3 5" xfId="535"/>
    <cellStyle name="Comma 3 50" xfId="536"/>
    <cellStyle name="Comma 3 51" xfId="537"/>
    <cellStyle name="Comma 3 52" xfId="538"/>
    <cellStyle name="Comma 3 53" xfId="539"/>
    <cellStyle name="Comma 3 54" xfId="540"/>
    <cellStyle name="Comma 3 55" xfId="541"/>
    <cellStyle name="Comma 3 56" xfId="542"/>
    <cellStyle name="Comma 3 57" xfId="543"/>
    <cellStyle name="Comma 3 58" xfId="544"/>
    <cellStyle name="Comma 3 59" xfId="545"/>
    <cellStyle name="Comma 3 6" xfId="546"/>
    <cellStyle name="Comma 3 60" xfId="547"/>
    <cellStyle name="Comma 3 61" xfId="548"/>
    <cellStyle name="Comma 3 62" xfId="549"/>
    <cellStyle name="Comma 3 63" xfId="550"/>
    <cellStyle name="Comma 3 64" xfId="551"/>
    <cellStyle name="Comma 3 7" xfId="552"/>
    <cellStyle name="Comma 3 8" xfId="553"/>
    <cellStyle name="Comma 3 9" xfId="554"/>
    <cellStyle name="Comma 30" xfId="555"/>
    <cellStyle name="Comma 31" xfId="556"/>
    <cellStyle name="Comma 32" xfId="557"/>
    <cellStyle name="Comma 33" xfId="558"/>
    <cellStyle name="Comma 34" xfId="559"/>
    <cellStyle name="Comma 35" xfId="560"/>
    <cellStyle name="Comma 36" xfId="561"/>
    <cellStyle name="Comma 37" xfId="562"/>
    <cellStyle name="Comma 4" xfId="563"/>
    <cellStyle name="Comma 4 10" xfId="564"/>
    <cellStyle name="Comma 4 11" xfId="565"/>
    <cellStyle name="Comma 4 12" xfId="566"/>
    <cellStyle name="Comma 4 13" xfId="567"/>
    <cellStyle name="Comma 4 14" xfId="568"/>
    <cellStyle name="Comma 4 15" xfId="569"/>
    <cellStyle name="Comma 4 16" xfId="570"/>
    <cellStyle name="Comma 4 17" xfId="571"/>
    <cellStyle name="Comma 4 18" xfId="572"/>
    <cellStyle name="Comma 4 19" xfId="573"/>
    <cellStyle name="Comma 4 2" xfId="574"/>
    <cellStyle name="Comma 4 20" xfId="575"/>
    <cellStyle name="Comma 4 21" xfId="576"/>
    <cellStyle name="Comma 4 22" xfId="577"/>
    <cellStyle name="Comma 4 23" xfId="578"/>
    <cellStyle name="Comma 4 24" xfId="579"/>
    <cellStyle name="Comma 4 25" xfId="580"/>
    <cellStyle name="Comma 4 26" xfId="581"/>
    <cellStyle name="Comma 4 27" xfId="582"/>
    <cellStyle name="Comma 4 28" xfId="583"/>
    <cellStyle name="Comma 4 29" xfId="584"/>
    <cellStyle name="Comma 4 3" xfId="585"/>
    <cellStyle name="Comma 4 30" xfId="586"/>
    <cellStyle name="Comma 4 31" xfId="587"/>
    <cellStyle name="Comma 4 32" xfId="588"/>
    <cellStyle name="Comma 4 33" xfId="589"/>
    <cellStyle name="Comma 4 34" xfId="590"/>
    <cellStyle name="Comma 4 35" xfId="591"/>
    <cellStyle name="Comma 4 36" xfId="592"/>
    <cellStyle name="Comma 4 37" xfId="593"/>
    <cellStyle name="Comma 4 38" xfId="594"/>
    <cellStyle name="Comma 4 39" xfId="595"/>
    <cellStyle name="Comma 4 4" xfId="596"/>
    <cellStyle name="Comma 4 40" xfId="597"/>
    <cellStyle name="Comma 4 41" xfId="598"/>
    <cellStyle name="Comma 4 42" xfId="599"/>
    <cellStyle name="Comma 4 43" xfId="600"/>
    <cellStyle name="Comma 4 44" xfId="601"/>
    <cellStyle name="Comma 4 45" xfId="602"/>
    <cellStyle name="Comma 4 46" xfId="603"/>
    <cellStyle name="Comma 4 47" xfId="604"/>
    <cellStyle name="Comma 4 48" xfId="605"/>
    <cellStyle name="Comma 4 49" xfId="606"/>
    <cellStyle name="Comma 4 5" xfId="607"/>
    <cellStyle name="Comma 4 50" xfId="608"/>
    <cellStyle name="Comma 4 51" xfId="609"/>
    <cellStyle name="Comma 4 52" xfId="610"/>
    <cellStyle name="Comma 4 53" xfId="611"/>
    <cellStyle name="Comma 4 54" xfId="612"/>
    <cellStyle name="Comma 4 55" xfId="613"/>
    <cellStyle name="Comma 4 56" xfId="614"/>
    <cellStyle name="Comma 4 57" xfId="615"/>
    <cellStyle name="Comma 4 58" xfId="616"/>
    <cellStyle name="Comma 4 59" xfId="617"/>
    <cellStyle name="Comma 4 6" xfId="618"/>
    <cellStyle name="Comma 4 60" xfId="619"/>
    <cellStyle name="Comma 4 61" xfId="620"/>
    <cellStyle name="Comma 4 62" xfId="621"/>
    <cellStyle name="Comma 4 63" xfId="622"/>
    <cellStyle name="Comma 4 7" xfId="623"/>
    <cellStyle name="Comma 4 8" xfId="624"/>
    <cellStyle name="Comma 4 9" xfId="625"/>
    <cellStyle name="Comma 5" xfId="626"/>
    <cellStyle name="Comma 5 10" xfId="627"/>
    <cellStyle name="Comma 5 11" xfId="628"/>
    <cellStyle name="Comma 5 12" xfId="629"/>
    <cellStyle name="Comma 5 13" xfId="630"/>
    <cellStyle name="Comma 5 14" xfId="631"/>
    <cellStyle name="Comma 5 15" xfId="632"/>
    <cellStyle name="Comma 5 16" xfId="633"/>
    <cellStyle name="Comma 5 17" xfId="634"/>
    <cellStyle name="Comma 5 18" xfId="635"/>
    <cellStyle name="Comma 5 19" xfId="636"/>
    <cellStyle name="Comma 5 2" xfId="637"/>
    <cellStyle name="Comma 5 20" xfId="638"/>
    <cellStyle name="Comma 5 21" xfId="639"/>
    <cellStyle name="Comma 5 22" xfId="640"/>
    <cellStyle name="Comma 5 23" xfId="641"/>
    <cellStyle name="Comma 5 24" xfId="642"/>
    <cellStyle name="Comma 5 25" xfId="643"/>
    <cellStyle name="Comma 5 26" xfId="644"/>
    <cellStyle name="Comma 5 27" xfId="645"/>
    <cellStyle name="Comma 5 28" xfId="646"/>
    <cellStyle name="Comma 5 29" xfId="647"/>
    <cellStyle name="Comma 5 3" xfId="648"/>
    <cellStyle name="Comma 5 30" xfId="649"/>
    <cellStyle name="Comma 5 31" xfId="650"/>
    <cellStyle name="Comma 5 32" xfId="651"/>
    <cellStyle name="Comma 5 33" xfId="652"/>
    <cellStyle name="Comma 5 34" xfId="653"/>
    <cellStyle name="Comma 5 35" xfId="654"/>
    <cellStyle name="Comma 5 36" xfId="655"/>
    <cellStyle name="Comma 5 37" xfId="656"/>
    <cellStyle name="Comma 5 38" xfId="657"/>
    <cellStyle name="Comma 5 39" xfId="658"/>
    <cellStyle name="Comma 5 4" xfId="659"/>
    <cellStyle name="Comma 5 40" xfId="660"/>
    <cellStyle name="Comma 5 41" xfId="661"/>
    <cellStyle name="Comma 5 42" xfId="662"/>
    <cellStyle name="Comma 5 43" xfId="663"/>
    <cellStyle name="Comma 5 44" xfId="664"/>
    <cellStyle name="Comma 5 45" xfId="665"/>
    <cellStyle name="Comma 5 46" xfId="666"/>
    <cellStyle name="Comma 5 47" xfId="667"/>
    <cellStyle name="Comma 5 48" xfId="668"/>
    <cellStyle name="Comma 5 49" xfId="669"/>
    <cellStyle name="Comma 5 5" xfId="670"/>
    <cellStyle name="Comma 5 50" xfId="671"/>
    <cellStyle name="Comma 5 51" xfId="672"/>
    <cellStyle name="Comma 5 52" xfId="673"/>
    <cellStyle name="Comma 5 53" xfId="674"/>
    <cellStyle name="Comma 5 54" xfId="675"/>
    <cellStyle name="Comma 5 55" xfId="676"/>
    <cellStyle name="Comma 5 56" xfId="677"/>
    <cellStyle name="Comma 5 57" xfId="678"/>
    <cellStyle name="Comma 5 58" xfId="679"/>
    <cellStyle name="Comma 5 59" xfId="680"/>
    <cellStyle name="Comma 5 6" xfId="681"/>
    <cellStyle name="Comma 5 60" xfId="682"/>
    <cellStyle name="Comma 5 61" xfId="683"/>
    <cellStyle name="Comma 5 62" xfId="684"/>
    <cellStyle name="Comma 5 63" xfId="685"/>
    <cellStyle name="Comma 5 7" xfId="686"/>
    <cellStyle name="Comma 5 8" xfId="687"/>
    <cellStyle name="Comma 5 9" xfId="688"/>
    <cellStyle name="Comma 6" xfId="689"/>
    <cellStyle name="Comma 6 10" xfId="690"/>
    <cellStyle name="Comma 6 11" xfId="691"/>
    <cellStyle name="Comma 6 12" xfId="692"/>
    <cellStyle name="Comma 6 13" xfId="693"/>
    <cellStyle name="Comma 6 14" xfId="694"/>
    <cellStyle name="Comma 6 15" xfId="695"/>
    <cellStyle name="Comma 6 16" xfId="696"/>
    <cellStyle name="Comma 6 17" xfId="697"/>
    <cellStyle name="Comma 6 18" xfId="698"/>
    <cellStyle name="Comma 6 19" xfId="699"/>
    <cellStyle name="Comma 6 2" xfId="700"/>
    <cellStyle name="Comma 6 20" xfId="701"/>
    <cellStyle name="Comma 6 21" xfId="702"/>
    <cellStyle name="Comma 6 22" xfId="703"/>
    <cellStyle name="Comma 6 23" xfId="704"/>
    <cellStyle name="Comma 6 24" xfId="705"/>
    <cellStyle name="Comma 6 25" xfId="706"/>
    <cellStyle name="Comma 6 26" xfId="707"/>
    <cellStyle name="Comma 6 27" xfId="708"/>
    <cellStyle name="Comma 6 28" xfId="709"/>
    <cellStyle name="Comma 6 29" xfId="710"/>
    <cellStyle name="Comma 6 3" xfId="711"/>
    <cellStyle name="Comma 6 30" xfId="712"/>
    <cellStyle name="Comma 6 31" xfId="713"/>
    <cellStyle name="Comma 6 32" xfId="714"/>
    <cellStyle name="Comma 6 33" xfId="715"/>
    <cellStyle name="Comma 6 34" xfId="716"/>
    <cellStyle name="Comma 6 35" xfId="717"/>
    <cellStyle name="Comma 6 36" xfId="718"/>
    <cellStyle name="Comma 6 37" xfId="719"/>
    <cellStyle name="Comma 6 38" xfId="720"/>
    <cellStyle name="Comma 6 39" xfId="721"/>
    <cellStyle name="Comma 6 4" xfId="722"/>
    <cellStyle name="Comma 6 40" xfId="723"/>
    <cellStyle name="Comma 6 41" xfId="724"/>
    <cellStyle name="Comma 6 42" xfId="725"/>
    <cellStyle name="Comma 6 43" xfId="726"/>
    <cellStyle name="Comma 6 44" xfId="727"/>
    <cellStyle name="Comma 6 45" xfId="728"/>
    <cellStyle name="Comma 6 46" xfId="729"/>
    <cellStyle name="Comma 6 47" xfId="730"/>
    <cellStyle name="Comma 6 48" xfId="731"/>
    <cellStyle name="Comma 6 49" xfId="732"/>
    <cellStyle name="Comma 6 5" xfId="733"/>
    <cellStyle name="Comma 6 50" xfId="734"/>
    <cellStyle name="Comma 6 51" xfId="735"/>
    <cellStyle name="Comma 6 52" xfId="736"/>
    <cellStyle name="Comma 6 53" xfId="737"/>
    <cellStyle name="Comma 6 54" xfId="738"/>
    <cellStyle name="Comma 6 55" xfId="739"/>
    <cellStyle name="Comma 6 56" xfId="740"/>
    <cellStyle name="Comma 6 57" xfId="741"/>
    <cellStyle name="Comma 6 58" xfId="742"/>
    <cellStyle name="Comma 6 59" xfId="743"/>
    <cellStyle name="Comma 6 6" xfId="744"/>
    <cellStyle name="Comma 6 60" xfId="745"/>
    <cellStyle name="Comma 6 61" xfId="746"/>
    <cellStyle name="Comma 6 62" xfId="747"/>
    <cellStyle name="Comma 6 63" xfId="748"/>
    <cellStyle name="Comma 6 7" xfId="749"/>
    <cellStyle name="Comma 6 8" xfId="750"/>
    <cellStyle name="Comma 6 9" xfId="751"/>
    <cellStyle name="Comma 7" xfId="752"/>
    <cellStyle name="Comma 7 10" xfId="753"/>
    <cellStyle name="Comma 7 11" xfId="754"/>
    <cellStyle name="Comma 7 12" xfId="755"/>
    <cellStyle name="Comma 7 13" xfId="756"/>
    <cellStyle name="Comma 7 14" xfId="757"/>
    <cellStyle name="Comma 7 15" xfId="758"/>
    <cellStyle name="Comma 7 16" xfId="759"/>
    <cellStyle name="Comma 7 17" xfId="760"/>
    <cellStyle name="Comma 7 18" xfId="761"/>
    <cellStyle name="Comma 7 19" xfId="762"/>
    <cellStyle name="Comma 7 2" xfId="763"/>
    <cellStyle name="Comma 7 20" xfId="764"/>
    <cellStyle name="Comma 7 21" xfId="765"/>
    <cellStyle name="Comma 7 22" xfId="766"/>
    <cellStyle name="Comma 7 23" xfId="767"/>
    <cellStyle name="Comma 7 24" xfId="768"/>
    <cellStyle name="Comma 7 25" xfId="769"/>
    <cellStyle name="Comma 7 26" xfId="770"/>
    <cellStyle name="Comma 7 27" xfId="771"/>
    <cellStyle name="Comma 7 28" xfId="772"/>
    <cellStyle name="Comma 7 29" xfId="773"/>
    <cellStyle name="Comma 7 3" xfId="774"/>
    <cellStyle name="Comma 7 30" xfId="775"/>
    <cellStyle name="Comma 7 31" xfId="776"/>
    <cellStyle name="Comma 7 32" xfId="777"/>
    <cellStyle name="Comma 7 33" xfId="778"/>
    <cellStyle name="Comma 7 34" xfId="779"/>
    <cellStyle name="Comma 7 35" xfId="780"/>
    <cellStyle name="Comma 7 36" xfId="781"/>
    <cellStyle name="Comma 7 37" xfId="782"/>
    <cellStyle name="Comma 7 38" xfId="783"/>
    <cellStyle name="Comma 7 39" xfId="784"/>
    <cellStyle name="Comma 7 4" xfId="785"/>
    <cellStyle name="Comma 7 40" xfId="786"/>
    <cellStyle name="Comma 7 41" xfId="787"/>
    <cellStyle name="Comma 7 42" xfId="788"/>
    <cellStyle name="Comma 7 43" xfId="789"/>
    <cellStyle name="Comma 7 44" xfId="790"/>
    <cellStyle name="Comma 7 45" xfId="791"/>
    <cellStyle name="Comma 7 46" xfId="792"/>
    <cellStyle name="Comma 7 47" xfId="793"/>
    <cellStyle name="Comma 7 48" xfId="794"/>
    <cellStyle name="Comma 7 49" xfId="795"/>
    <cellStyle name="Comma 7 5" xfId="796"/>
    <cellStyle name="Comma 7 50" xfId="797"/>
    <cellStyle name="Comma 7 51" xfId="798"/>
    <cellStyle name="Comma 7 52" xfId="799"/>
    <cellStyle name="Comma 7 53" xfId="800"/>
    <cellStyle name="Comma 7 54" xfId="801"/>
    <cellStyle name="Comma 7 55" xfId="802"/>
    <cellStyle name="Comma 7 56" xfId="803"/>
    <cellStyle name="Comma 7 57" xfId="804"/>
    <cellStyle name="Comma 7 58" xfId="805"/>
    <cellStyle name="Comma 7 59" xfId="806"/>
    <cellStyle name="Comma 7 6" xfId="807"/>
    <cellStyle name="Comma 7 60" xfId="808"/>
    <cellStyle name="Comma 7 61" xfId="809"/>
    <cellStyle name="Comma 7 62" xfId="810"/>
    <cellStyle name="Comma 7 63" xfId="811"/>
    <cellStyle name="Comma 7 7" xfId="812"/>
    <cellStyle name="Comma 7 8" xfId="813"/>
    <cellStyle name="Comma 7 9" xfId="814"/>
    <cellStyle name="Comma 8" xfId="815"/>
    <cellStyle name="Comma 8 10" xfId="816"/>
    <cellStyle name="Comma 8 11" xfId="817"/>
    <cellStyle name="Comma 8 12" xfId="818"/>
    <cellStyle name="Comma 8 13" xfId="819"/>
    <cellStyle name="Comma 8 14" xfId="820"/>
    <cellStyle name="Comma 8 15" xfId="821"/>
    <cellStyle name="Comma 8 16" xfId="822"/>
    <cellStyle name="Comma 8 17" xfId="823"/>
    <cellStyle name="Comma 8 18" xfId="824"/>
    <cellStyle name="Comma 8 19" xfId="825"/>
    <cellStyle name="Comma 8 2" xfId="826"/>
    <cellStyle name="Comma 8 20" xfId="827"/>
    <cellStyle name="Comma 8 21" xfId="828"/>
    <cellStyle name="Comma 8 22" xfId="829"/>
    <cellStyle name="Comma 8 23" xfId="830"/>
    <cellStyle name="Comma 8 24" xfId="831"/>
    <cellStyle name="Comma 8 25" xfId="832"/>
    <cellStyle name="Comma 8 26" xfId="833"/>
    <cellStyle name="Comma 8 27" xfId="834"/>
    <cellStyle name="Comma 8 28" xfId="835"/>
    <cellStyle name="Comma 8 29" xfId="836"/>
    <cellStyle name="Comma 8 3" xfId="837"/>
    <cellStyle name="Comma 8 30" xfId="838"/>
    <cellStyle name="Comma 8 31" xfId="839"/>
    <cellStyle name="Comma 8 32" xfId="840"/>
    <cellStyle name="Comma 8 33" xfId="841"/>
    <cellStyle name="Comma 8 34" xfId="842"/>
    <cellStyle name="Comma 8 35" xfId="843"/>
    <cellStyle name="Comma 8 36" xfId="844"/>
    <cellStyle name="Comma 8 37" xfId="845"/>
    <cellStyle name="Comma 8 38" xfId="846"/>
    <cellStyle name="Comma 8 39" xfId="847"/>
    <cellStyle name="Comma 8 4" xfId="848"/>
    <cellStyle name="Comma 8 40" xfId="849"/>
    <cellStyle name="Comma 8 41" xfId="850"/>
    <cellStyle name="Comma 8 42" xfId="851"/>
    <cellStyle name="Comma 8 43" xfId="852"/>
    <cellStyle name="Comma 8 44" xfId="853"/>
    <cellStyle name="Comma 8 45" xfId="854"/>
    <cellStyle name="Comma 8 46" xfId="855"/>
    <cellStyle name="Comma 8 47" xfId="856"/>
    <cellStyle name="Comma 8 48" xfId="857"/>
    <cellStyle name="Comma 8 49" xfId="858"/>
    <cellStyle name="Comma 8 5" xfId="859"/>
    <cellStyle name="Comma 8 50" xfId="860"/>
    <cellStyle name="Comma 8 51" xfId="861"/>
    <cellStyle name="Comma 8 52" xfId="862"/>
    <cellStyle name="Comma 8 53" xfId="863"/>
    <cellStyle name="Comma 8 54" xfId="864"/>
    <cellStyle name="Comma 8 55" xfId="865"/>
    <cellStyle name="Comma 8 56" xfId="866"/>
    <cellStyle name="Comma 8 57" xfId="867"/>
    <cellStyle name="Comma 8 58" xfId="868"/>
    <cellStyle name="Comma 8 59" xfId="869"/>
    <cellStyle name="Comma 8 6" xfId="870"/>
    <cellStyle name="Comma 8 60" xfId="871"/>
    <cellStyle name="Comma 8 61" xfId="872"/>
    <cellStyle name="Comma 8 62" xfId="873"/>
    <cellStyle name="Comma 8 63" xfId="874"/>
    <cellStyle name="Comma 8 7" xfId="875"/>
    <cellStyle name="Comma 8 8" xfId="876"/>
    <cellStyle name="Comma 8 9" xfId="877"/>
    <cellStyle name="Comma 9" xfId="878"/>
    <cellStyle name="Comma 9 10" xfId="879"/>
    <cellStyle name="Comma 9 11" xfId="880"/>
    <cellStyle name="Comma 9 12" xfId="881"/>
    <cellStyle name="Comma 9 13" xfId="882"/>
    <cellStyle name="Comma 9 14" xfId="883"/>
    <cellStyle name="Comma 9 15" xfId="884"/>
    <cellStyle name="Comma 9 16" xfId="885"/>
    <cellStyle name="Comma 9 17" xfId="886"/>
    <cellStyle name="Comma 9 18" xfId="887"/>
    <cellStyle name="Comma 9 19" xfId="888"/>
    <cellStyle name="Comma 9 2" xfId="889"/>
    <cellStyle name="Comma 9 20" xfId="890"/>
    <cellStyle name="Comma 9 21" xfId="891"/>
    <cellStyle name="Comma 9 22" xfId="892"/>
    <cellStyle name="Comma 9 23" xfId="893"/>
    <cellStyle name="Comma 9 24" xfId="894"/>
    <cellStyle name="Comma 9 25" xfId="895"/>
    <cellStyle name="Comma 9 26" xfId="896"/>
    <cellStyle name="Comma 9 27" xfId="897"/>
    <cellStyle name="Comma 9 28" xfId="898"/>
    <cellStyle name="Comma 9 29" xfId="899"/>
    <cellStyle name="Comma 9 3" xfId="900"/>
    <cellStyle name="Comma 9 30" xfId="901"/>
    <cellStyle name="Comma 9 31" xfId="902"/>
    <cellStyle name="Comma 9 32" xfId="903"/>
    <cellStyle name="Comma 9 33" xfId="904"/>
    <cellStyle name="Comma 9 34" xfId="905"/>
    <cellStyle name="Comma 9 35" xfId="906"/>
    <cellStyle name="Comma 9 36" xfId="907"/>
    <cellStyle name="Comma 9 37" xfId="908"/>
    <cellStyle name="Comma 9 38" xfId="909"/>
    <cellStyle name="Comma 9 39" xfId="910"/>
    <cellStyle name="Comma 9 4" xfId="911"/>
    <cellStyle name="Comma 9 40" xfId="912"/>
    <cellStyle name="Comma 9 41" xfId="913"/>
    <cellStyle name="Comma 9 42" xfId="914"/>
    <cellStyle name="Comma 9 43" xfId="915"/>
    <cellStyle name="Comma 9 44" xfId="916"/>
    <cellStyle name="Comma 9 45" xfId="917"/>
    <cellStyle name="Comma 9 46" xfId="918"/>
    <cellStyle name="Comma 9 47" xfId="919"/>
    <cellStyle name="Comma 9 48" xfId="920"/>
    <cellStyle name="Comma 9 49" xfId="921"/>
    <cellStyle name="Comma 9 5" xfId="922"/>
    <cellStyle name="Comma 9 50" xfId="923"/>
    <cellStyle name="Comma 9 51" xfId="924"/>
    <cellStyle name="Comma 9 52" xfId="925"/>
    <cellStyle name="Comma 9 53" xfId="926"/>
    <cellStyle name="Comma 9 54" xfId="927"/>
    <cellStyle name="Comma 9 55" xfId="928"/>
    <cellStyle name="Comma 9 56" xfId="929"/>
    <cellStyle name="Comma 9 57" xfId="930"/>
    <cellStyle name="Comma 9 58" xfId="931"/>
    <cellStyle name="Comma 9 59" xfId="932"/>
    <cellStyle name="Comma 9 6" xfId="933"/>
    <cellStyle name="Comma 9 60" xfId="934"/>
    <cellStyle name="Comma 9 61" xfId="935"/>
    <cellStyle name="Comma 9 62" xfId="936"/>
    <cellStyle name="Comma 9 63" xfId="937"/>
    <cellStyle name="Comma 9 7" xfId="938"/>
    <cellStyle name="Comma 9 8" xfId="939"/>
    <cellStyle name="Comma 9 9" xfId="940"/>
    <cellStyle name="Currency" xfId="2798" builtinId="4"/>
    <cellStyle name="Currency [0] 2" xfId="941"/>
    <cellStyle name="Currency [0] 2 10" xfId="942"/>
    <cellStyle name="Currency [0] 2 11" xfId="943"/>
    <cellStyle name="Currency [0] 2 12" xfId="944"/>
    <cellStyle name="Currency [0] 2 13" xfId="945"/>
    <cellStyle name="Currency [0] 2 14" xfId="946"/>
    <cellStyle name="Currency [0] 2 15" xfId="947"/>
    <cellStyle name="Currency [0] 2 16" xfId="948"/>
    <cellStyle name="Currency [0] 2 17" xfId="949"/>
    <cellStyle name="Currency [0] 2 18" xfId="950"/>
    <cellStyle name="Currency [0] 2 19" xfId="951"/>
    <cellStyle name="Currency [0] 2 2" xfId="952"/>
    <cellStyle name="Currency [0] 2 20" xfId="953"/>
    <cellStyle name="Currency [0] 2 21" xfId="954"/>
    <cellStyle name="Currency [0] 2 22" xfId="955"/>
    <cellStyle name="Currency [0] 2 23" xfId="956"/>
    <cellStyle name="Currency [0] 2 24" xfId="957"/>
    <cellStyle name="Currency [0] 2 25" xfId="958"/>
    <cellStyle name="Currency [0] 2 26" xfId="959"/>
    <cellStyle name="Currency [0] 2 27" xfId="960"/>
    <cellStyle name="Currency [0] 2 28" xfId="961"/>
    <cellStyle name="Currency [0] 2 29" xfId="962"/>
    <cellStyle name="Currency [0] 2 3" xfId="963"/>
    <cellStyle name="Currency [0] 2 30" xfId="964"/>
    <cellStyle name="Currency [0] 2 31" xfId="965"/>
    <cellStyle name="Currency [0] 2 32" xfId="966"/>
    <cellStyle name="Currency [0] 2 33" xfId="967"/>
    <cellStyle name="Currency [0] 2 34" xfId="968"/>
    <cellStyle name="Currency [0] 2 35" xfId="969"/>
    <cellStyle name="Currency [0] 2 36" xfId="970"/>
    <cellStyle name="Currency [0] 2 37" xfId="971"/>
    <cellStyle name="Currency [0] 2 38" xfId="972"/>
    <cellStyle name="Currency [0] 2 39" xfId="973"/>
    <cellStyle name="Currency [0] 2 4" xfId="974"/>
    <cellStyle name="Currency [0] 2 40" xfId="975"/>
    <cellStyle name="Currency [0] 2 41" xfId="976"/>
    <cellStyle name="Currency [0] 2 42" xfId="977"/>
    <cellStyle name="Currency [0] 2 43" xfId="978"/>
    <cellStyle name="Currency [0] 2 44" xfId="979"/>
    <cellStyle name="Currency [0] 2 45" xfId="980"/>
    <cellStyle name="Currency [0] 2 46" xfId="981"/>
    <cellStyle name="Currency [0] 2 47" xfId="982"/>
    <cellStyle name="Currency [0] 2 48" xfId="983"/>
    <cellStyle name="Currency [0] 2 49" xfId="984"/>
    <cellStyle name="Currency [0] 2 5" xfId="985"/>
    <cellStyle name="Currency [0] 2 50" xfId="986"/>
    <cellStyle name="Currency [0] 2 51" xfId="987"/>
    <cellStyle name="Currency [0] 2 52" xfId="988"/>
    <cellStyle name="Currency [0] 2 53" xfId="989"/>
    <cellStyle name="Currency [0] 2 54" xfId="990"/>
    <cellStyle name="Currency [0] 2 55" xfId="991"/>
    <cellStyle name="Currency [0] 2 56" xfId="992"/>
    <cellStyle name="Currency [0] 2 57" xfId="993"/>
    <cellStyle name="Currency [0] 2 58" xfId="994"/>
    <cellStyle name="Currency [0] 2 59" xfId="995"/>
    <cellStyle name="Currency [0] 2 6" xfId="996"/>
    <cellStyle name="Currency [0] 2 60" xfId="997"/>
    <cellStyle name="Currency [0] 2 61" xfId="998"/>
    <cellStyle name="Currency [0] 2 62" xfId="999"/>
    <cellStyle name="Currency [0] 2 63" xfId="1000"/>
    <cellStyle name="Currency [0] 2 7" xfId="1001"/>
    <cellStyle name="Currency [0] 2 8" xfId="1002"/>
    <cellStyle name="Currency [0] 2 9" xfId="1003"/>
    <cellStyle name="Currency [0] 3" xfId="1004"/>
    <cellStyle name="Currency [0] 3 10" xfId="1005"/>
    <cellStyle name="Currency [0] 3 11" xfId="1006"/>
    <cellStyle name="Currency [0] 3 12" xfId="1007"/>
    <cellStyle name="Currency [0] 3 13" xfId="1008"/>
    <cellStyle name="Currency [0] 3 14" xfId="1009"/>
    <cellStyle name="Currency [0] 3 15" xfId="1010"/>
    <cellStyle name="Currency [0] 3 16" xfId="1011"/>
    <cellStyle name="Currency [0] 3 17" xfId="1012"/>
    <cellStyle name="Currency [0] 3 18" xfId="1013"/>
    <cellStyle name="Currency [0] 3 19" xfId="1014"/>
    <cellStyle name="Currency [0] 3 2" xfId="1015"/>
    <cellStyle name="Currency [0] 3 20" xfId="1016"/>
    <cellStyle name="Currency [0] 3 21" xfId="1017"/>
    <cellStyle name="Currency [0] 3 22" xfId="1018"/>
    <cellStyle name="Currency [0] 3 23" xfId="1019"/>
    <cellStyle name="Currency [0] 3 24" xfId="1020"/>
    <cellStyle name="Currency [0] 3 25" xfId="1021"/>
    <cellStyle name="Currency [0] 3 26" xfId="1022"/>
    <cellStyle name="Currency [0] 3 27" xfId="1023"/>
    <cellStyle name="Currency [0] 3 28" xfId="1024"/>
    <cellStyle name="Currency [0] 3 29" xfId="1025"/>
    <cellStyle name="Currency [0] 3 3" xfId="1026"/>
    <cellStyle name="Currency [0] 3 30" xfId="1027"/>
    <cellStyle name="Currency [0] 3 31" xfId="1028"/>
    <cellStyle name="Currency [0] 3 32" xfId="1029"/>
    <cellStyle name="Currency [0] 3 33" xfId="1030"/>
    <cellStyle name="Currency [0] 3 34" xfId="1031"/>
    <cellStyle name="Currency [0] 3 35" xfId="1032"/>
    <cellStyle name="Currency [0] 3 36" xfId="1033"/>
    <cellStyle name="Currency [0] 3 37" xfId="1034"/>
    <cellStyle name="Currency [0] 3 38" xfId="1035"/>
    <cellStyle name="Currency [0] 3 39" xfId="1036"/>
    <cellStyle name="Currency [0] 3 4" xfId="1037"/>
    <cellStyle name="Currency [0] 3 40" xfId="1038"/>
    <cellStyle name="Currency [0] 3 41" xfId="1039"/>
    <cellStyle name="Currency [0] 3 42" xfId="1040"/>
    <cellStyle name="Currency [0] 3 43" xfId="1041"/>
    <cellStyle name="Currency [0] 3 44" xfId="1042"/>
    <cellStyle name="Currency [0] 3 45" xfId="1043"/>
    <cellStyle name="Currency [0] 3 46" xfId="1044"/>
    <cellStyle name="Currency [0] 3 47" xfId="1045"/>
    <cellStyle name="Currency [0] 3 48" xfId="1046"/>
    <cellStyle name="Currency [0] 3 49" xfId="1047"/>
    <cellStyle name="Currency [0] 3 5" xfId="1048"/>
    <cellStyle name="Currency [0] 3 50" xfId="1049"/>
    <cellStyle name="Currency [0] 3 51" xfId="1050"/>
    <cellStyle name="Currency [0] 3 52" xfId="1051"/>
    <cellStyle name="Currency [0] 3 53" xfId="1052"/>
    <cellStyle name="Currency [0] 3 54" xfId="1053"/>
    <cellStyle name="Currency [0] 3 55" xfId="1054"/>
    <cellStyle name="Currency [0] 3 56" xfId="1055"/>
    <cellStyle name="Currency [0] 3 57" xfId="1056"/>
    <cellStyle name="Currency [0] 3 58" xfId="1057"/>
    <cellStyle name="Currency [0] 3 59" xfId="1058"/>
    <cellStyle name="Currency [0] 3 6" xfId="1059"/>
    <cellStyle name="Currency [0] 3 60" xfId="1060"/>
    <cellStyle name="Currency [0] 3 61" xfId="1061"/>
    <cellStyle name="Currency [0] 3 62" xfId="1062"/>
    <cellStyle name="Currency [0] 3 63" xfId="1063"/>
    <cellStyle name="Currency [0] 3 64" xfId="1064"/>
    <cellStyle name="Currency [0] 3 7" xfId="1065"/>
    <cellStyle name="Currency [0] 3 8" xfId="1066"/>
    <cellStyle name="Currency [0] 3 9" xfId="1067"/>
    <cellStyle name="Currency [0] 4" xfId="1068"/>
    <cellStyle name="Currency [0] 4 10" xfId="1069"/>
    <cellStyle name="Currency [0] 4 11" xfId="1070"/>
    <cellStyle name="Currency [0] 4 12" xfId="1071"/>
    <cellStyle name="Currency [0] 4 13" xfId="1072"/>
    <cellStyle name="Currency [0] 4 14" xfId="1073"/>
    <cellStyle name="Currency [0] 4 15" xfId="1074"/>
    <cellStyle name="Currency [0] 4 16" xfId="1075"/>
    <cellStyle name="Currency [0] 4 17" xfId="1076"/>
    <cellStyle name="Currency [0] 4 18" xfId="1077"/>
    <cellStyle name="Currency [0] 4 19" xfId="1078"/>
    <cellStyle name="Currency [0] 4 2" xfId="1079"/>
    <cellStyle name="Currency [0] 4 20" xfId="1080"/>
    <cellStyle name="Currency [0] 4 21" xfId="1081"/>
    <cellStyle name="Currency [0] 4 22" xfId="1082"/>
    <cellStyle name="Currency [0] 4 23" xfId="1083"/>
    <cellStyle name="Currency [0] 4 24" xfId="1084"/>
    <cellStyle name="Currency [0] 4 25" xfId="1085"/>
    <cellStyle name="Currency [0] 4 26" xfId="1086"/>
    <cellStyle name="Currency [0] 4 27" xfId="1087"/>
    <cellStyle name="Currency [0] 4 28" xfId="1088"/>
    <cellStyle name="Currency [0] 4 29" xfId="1089"/>
    <cellStyle name="Currency [0] 4 3" xfId="1090"/>
    <cellStyle name="Currency [0] 4 30" xfId="1091"/>
    <cellStyle name="Currency [0] 4 31" xfId="1092"/>
    <cellStyle name="Currency [0] 4 32" xfId="1093"/>
    <cellStyle name="Currency [0] 4 33" xfId="1094"/>
    <cellStyle name="Currency [0] 4 34" xfId="1095"/>
    <cellStyle name="Currency [0] 4 35" xfId="1096"/>
    <cellStyle name="Currency [0] 4 36" xfId="1097"/>
    <cellStyle name="Currency [0] 4 37" xfId="1098"/>
    <cellStyle name="Currency [0] 4 38" xfId="1099"/>
    <cellStyle name="Currency [0] 4 39" xfId="1100"/>
    <cellStyle name="Currency [0] 4 4" xfId="1101"/>
    <cellStyle name="Currency [0] 4 40" xfId="1102"/>
    <cellStyle name="Currency [0] 4 41" xfId="1103"/>
    <cellStyle name="Currency [0] 4 42" xfId="1104"/>
    <cellStyle name="Currency [0] 4 43" xfId="1105"/>
    <cellStyle name="Currency [0] 4 44" xfId="1106"/>
    <cellStyle name="Currency [0] 4 45" xfId="1107"/>
    <cellStyle name="Currency [0] 4 46" xfId="1108"/>
    <cellStyle name="Currency [0] 4 47" xfId="1109"/>
    <cellStyle name="Currency [0] 4 48" xfId="1110"/>
    <cellStyle name="Currency [0] 4 49" xfId="1111"/>
    <cellStyle name="Currency [0] 4 5" xfId="1112"/>
    <cellStyle name="Currency [0] 4 50" xfId="1113"/>
    <cellStyle name="Currency [0] 4 51" xfId="1114"/>
    <cellStyle name="Currency [0] 4 52" xfId="1115"/>
    <cellStyle name="Currency [0] 4 53" xfId="1116"/>
    <cellStyle name="Currency [0] 4 54" xfId="1117"/>
    <cellStyle name="Currency [0] 4 55" xfId="1118"/>
    <cellStyle name="Currency [0] 4 56" xfId="1119"/>
    <cellStyle name="Currency [0] 4 57" xfId="1120"/>
    <cellStyle name="Currency [0] 4 58" xfId="1121"/>
    <cellStyle name="Currency [0] 4 59" xfId="1122"/>
    <cellStyle name="Currency [0] 4 6" xfId="1123"/>
    <cellStyle name="Currency [0] 4 60" xfId="1124"/>
    <cellStyle name="Currency [0] 4 61" xfId="1125"/>
    <cellStyle name="Currency [0] 4 62" xfId="1126"/>
    <cellStyle name="Currency [0] 4 63" xfId="1127"/>
    <cellStyle name="Currency [0] 4 7" xfId="1128"/>
    <cellStyle name="Currency [0] 4 8" xfId="1129"/>
    <cellStyle name="Currency [0] 4 9" xfId="1130"/>
    <cellStyle name="Currency [0] 5" xfId="1131"/>
    <cellStyle name="Currency [0] 5 10" xfId="1132"/>
    <cellStyle name="Currency [0] 5 11" xfId="1133"/>
    <cellStyle name="Currency [0] 5 12" xfId="1134"/>
    <cellStyle name="Currency [0] 5 13" xfId="1135"/>
    <cellStyle name="Currency [0] 5 14" xfId="1136"/>
    <cellStyle name="Currency [0] 5 15" xfId="1137"/>
    <cellStyle name="Currency [0] 5 16" xfId="1138"/>
    <cellStyle name="Currency [0] 5 17" xfId="1139"/>
    <cellStyle name="Currency [0] 5 18" xfId="1140"/>
    <cellStyle name="Currency [0] 5 19" xfId="1141"/>
    <cellStyle name="Currency [0] 5 2" xfId="1142"/>
    <cellStyle name="Currency [0] 5 20" xfId="1143"/>
    <cellStyle name="Currency [0] 5 21" xfId="1144"/>
    <cellStyle name="Currency [0] 5 22" xfId="1145"/>
    <cellStyle name="Currency [0] 5 23" xfId="1146"/>
    <cellStyle name="Currency [0] 5 24" xfId="1147"/>
    <cellStyle name="Currency [0] 5 25" xfId="1148"/>
    <cellStyle name="Currency [0] 5 26" xfId="1149"/>
    <cellStyle name="Currency [0] 5 27" xfId="1150"/>
    <cellStyle name="Currency [0] 5 28" xfId="1151"/>
    <cellStyle name="Currency [0] 5 29" xfId="1152"/>
    <cellStyle name="Currency [0] 5 3" xfId="1153"/>
    <cellStyle name="Currency [0] 5 3 10" xfId="1154"/>
    <cellStyle name="Currency [0] 5 3 11" xfId="1155"/>
    <cellStyle name="Currency [0] 5 3 12" xfId="1156"/>
    <cellStyle name="Currency [0] 5 3 13" xfId="1157"/>
    <cellStyle name="Currency [0] 5 3 14" xfId="1158"/>
    <cellStyle name="Currency [0] 5 3 15" xfId="1159"/>
    <cellStyle name="Currency [0] 5 3 16" xfId="1160"/>
    <cellStyle name="Currency [0] 5 3 17" xfId="1161"/>
    <cellStyle name="Currency [0] 5 3 18" xfId="1162"/>
    <cellStyle name="Currency [0] 5 3 19" xfId="1163"/>
    <cellStyle name="Currency [0] 5 3 2" xfId="1164"/>
    <cellStyle name="Currency [0] 5 3 20" xfId="1165"/>
    <cellStyle name="Currency [0] 5 3 21" xfId="1166"/>
    <cellStyle name="Currency [0] 5 3 22" xfId="1167"/>
    <cellStyle name="Currency [0] 5 3 23" xfId="1168"/>
    <cellStyle name="Currency [0] 5 3 24" xfId="1169"/>
    <cellStyle name="Currency [0] 5 3 25" xfId="1170"/>
    <cellStyle name="Currency [0] 5 3 26" xfId="1171"/>
    <cellStyle name="Currency [0] 5 3 3" xfId="1172"/>
    <cellStyle name="Currency [0] 5 3 4" xfId="1173"/>
    <cellStyle name="Currency [0] 5 3 5" xfId="1174"/>
    <cellStyle name="Currency [0] 5 3 6" xfId="1175"/>
    <cellStyle name="Currency [0] 5 3 7" xfId="1176"/>
    <cellStyle name="Currency [0] 5 3 8" xfId="1177"/>
    <cellStyle name="Currency [0] 5 3 9" xfId="1178"/>
    <cellStyle name="Currency [0] 5 30" xfId="1179"/>
    <cellStyle name="Currency [0] 5 31" xfId="1180"/>
    <cellStyle name="Currency [0] 5 32" xfId="1181"/>
    <cellStyle name="Currency [0] 5 33" xfId="1182"/>
    <cellStyle name="Currency [0] 5 34" xfId="1183"/>
    <cellStyle name="Currency [0] 5 35" xfId="1184"/>
    <cellStyle name="Currency [0] 5 36" xfId="1185"/>
    <cellStyle name="Currency [0] 5 37" xfId="1186"/>
    <cellStyle name="Currency [0] 5 38" xfId="1187"/>
    <cellStyle name="Currency [0] 5 39" xfId="1188"/>
    <cellStyle name="Currency [0] 5 4" xfId="1189"/>
    <cellStyle name="Currency [0] 5 40" xfId="1190"/>
    <cellStyle name="Currency [0] 5 41" xfId="1191"/>
    <cellStyle name="Currency [0] 5 42" xfId="1192"/>
    <cellStyle name="Currency [0] 5 43" xfId="1193"/>
    <cellStyle name="Currency [0] 5 44" xfId="1194"/>
    <cellStyle name="Currency [0] 5 45" xfId="1195"/>
    <cellStyle name="Currency [0] 5 46" xfId="1196"/>
    <cellStyle name="Currency [0] 5 47" xfId="1197"/>
    <cellStyle name="Currency [0] 5 48" xfId="1198"/>
    <cellStyle name="Currency [0] 5 49" xfId="1199"/>
    <cellStyle name="Currency [0] 5 5" xfId="1200"/>
    <cellStyle name="Currency [0] 5 5 10" xfId="1201"/>
    <cellStyle name="Currency [0] 5 5 11" xfId="1202"/>
    <cellStyle name="Currency [0] 5 5 12" xfId="1203"/>
    <cellStyle name="Currency [0] 5 5 13" xfId="1204"/>
    <cellStyle name="Currency [0] 5 5 14" xfId="1205"/>
    <cellStyle name="Currency [0] 5 5 15" xfId="1206"/>
    <cellStyle name="Currency [0] 5 5 16" xfId="1207"/>
    <cellStyle name="Currency [0] 5 5 17" xfId="1208"/>
    <cellStyle name="Currency [0] 5 5 18" xfId="1209"/>
    <cellStyle name="Currency [0] 5 5 19" xfId="1210"/>
    <cellStyle name="Currency [0] 5 5 2" xfId="1211"/>
    <cellStyle name="Currency [0] 5 5 20" xfId="1212"/>
    <cellStyle name="Currency [0] 5 5 21" xfId="1213"/>
    <cellStyle name="Currency [0] 5 5 22" xfId="1214"/>
    <cellStyle name="Currency [0] 5 5 23" xfId="1215"/>
    <cellStyle name="Currency [0] 5 5 24" xfId="1216"/>
    <cellStyle name="Currency [0] 5 5 25" xfId="1217"/>
    <cellStyle name="Currency [0] 5 5 26" xfId="1218"/>
    <cellStyle name="Currency [0] 5 5 27" xfId="1219"/>
    <cellStyle name="Currency [0] 5 5 28" xfId="1220"/>
    <cellStyle name="Currency [0] 5 5 29" xfId="1221"/>
    <cellStyle name="Currency [0] 5 5 3" xfId="1222"/>
    <cellStyle name="Currency [0] 5 5 30" xfId="1223"/>
    <cellStyle name="Currency [0] 5 5 31" xfId="1224"/>
    <cellStyle name="Currency [0] 5 5 32" xfId="1225"/>
    <cellStyle name="Currency [0] 5 5 33" xfId="1226"/>
    <cellStyle name="Currency [0] 5 5 34" xfId="1227"/>
    <cellStyle name="Currency [0] 5 5 35" xfId="1228"/>
    <cellStyle name="Currency [0] 5 5 36" xfId="1229"/>
    <cellStyle name="Currency [0] 5 5 37" xfId="1230"/>
    <cellStyle name="Currency [0] 5 5 38" xfId="1231"/>
    <cellStyle name="Currency [0] 5 5 39" xfId="1232"/>
    <cellStyle name="Currency [0] 5 5 4" xfId="1233"/>
    <cellStyle name="Currency [0] 5 5 40" xfId="1234"/>
    <cellStyle name="Currency [0] 5 5 41" xfId="1235"/>
    <cellStyle name="Currency [0] 5 5 42" xfId="1236"/>
    <cellStyle name="Currency [0] 5 5 43" xfId="1237"/>
    <cellStyle name="Currency [0] 5 5 44" xfId="1238"/>
    <cellStyle name="Currency [0] 5 5 45" xfId="1239"/>
    <cellStyle name="Currency [0] 5 5 46" xfId="1240"/>
    <cellStyle name="Currency [0] 5 5 47" xfId="1241"/>
    <cellStyle name="Currency [0] 5 5 48" xfId="1242"/>
    <cellStyle name="Currency [0] 5 5 49" xfId="1243"/>
    <cellStyle name="Currency [0] 5 5 5" xfId="1244"/>
    <cellStyle name="Currency [0] 5 5 50" xfId="1245"/>
    <cellStyle name="Currency [0] 5 5 51" xfId="1246"/>
    <cellStyle name="Currency [0] 5 5 52" xfId="1247"/>
    <cellStyle name="Currency [0] 5 5 53" xfId="1248"/>
    <cellStyle name="Currency [0] 5 5 54" xfId="1249"/>
    <cellStyle name="Currency [0] 5 5 55" xfId="1250"/>
    <cellStyle name="Currency [0] 5 5 56" xfId="1251"/>
    <cellStyle name="Currency [0] 5 5 57" xfId="1252"/>
    <cellStyle name="Currency [0] 5 5 58" xfId="1253"/>
    <cellStyle name="Currency [0] 5 5 59" xfId="1254"/>
    <cellStyle name="Currency [0] 5 5 6" xfId="1255"/>
    <cellStyle name="Currency [0] 5 5 60" xfId="1256"/>
    <cellStyle name="Currency [0] 5 5 61" xfId="1257"/>
    <cellStyle name="Currency [0] 5 5 62" xfId="1258"/>
    <cellStyle name="Currency [0] 5 5 63" xfId="1259"/>
    <cellStyle name="Currency [0] 5 5 64" xfId="1260"/>
    <cellStyle name="Currency [0] 5 5 65" xfId="1261"/>
    <cellStyle name="Currency [0] 5 5 66" xfId="1262"/>
    <cellStyle name="Currency [0] 5 5 67" xfId="1263"/>
    <cellStyle name="Currency [0] 5 5 68" xfId="1264"/>
    <cellStyle name="Currency [0] 5 5 69" xfId="1265"/>
    <cellStyle name="Currency [0] 5 5 7" xfId="1266"/>
    <cellStyle name="Currency [0] 5 5 70" xfId="1267"/>
    <cellStyle name="Currency [0] 5 5 71" xfId="1268"/>
    <cellStyle name="Currency [0] 5 5 8" xfId="1269"/>
    <cellStyle name="Currency [0] 5 5 9" xfId="1270"/>
    <cellStyle name="Currency [0] 5 50" xfId="1271"/>
    <cellStyle name="Currency [0] 5 51" xfId="1272"/>
    <cellStyle name="Currency [0] 5 52" xfId="1273"/>
    <cellStyle name="Currency [0] 5 53" xfId="1274"/>
    <cellStyle name="Currency [0] 5 54" xfId="1275"/>
    <cellStyle name="Currency [0] 5 55" xfId="1276"/>
    <cellStyle name="Currency [0] 5 56" xfId="1277"/>
    <cellStyle name="Currency [0] 5 57" xfId="1278"/>
    <cellStyle name="Currency [0] 5 58" xfId="1279"/>
    <cellStyle name="Currency [0] 5 59" xfId="1280"/>
    <cellStyle name="Currency [0] 5 6" xfId="1281"/>
    <cellStyle name="Currency [0] 5 60" xfId="1282"/>
    <cellStyle name="Currency [0] 5 60 2" xfId="1283"/>
    <cellStyle name="Currency [0] 5 60 3" xfId="1284"/>
    <cellStyle name="Currency [0] 5 60 3 2" xfId="1285"/>
    <cellStyle name="Currency [0] 5 61" xfId="1286"/>
    <cellStyle name="Currency [0] 5 62" xfId="1287"/>
    <cellStyle name="Currency [0] 5 63" xfId="1288"/>
    <cellStyle name="Currency [0] 5 64" xfId="1289"/>
    <cellStyle name="Currency [0] 5 65" xfId="1290"/>
    <cellStyle name="Currency [0] 5 66" xfId="1291"/>
    <cellStyle name="Currency [0] 5 67" xfId="1292"/>
    <cellStyle name="Currency [0] 5 68" xfId="1293"/>
    <cellStyle name="Currency [0] 5 69" xfId="1294"/>
    <cellStyle name="Currency [0] 5 7" xfId="1295"/>
    <cellStyle name="Currency [0] 5 70" xfId="1296"/>
    <cellStyle name="Currency [0] 5 71" xfId="1297"/>
    <cellStyle name="Currency [0] 5 72" xfId="1298"/>
    <cellStyle name="Currency [0] 5 73" xfId="1299"/>
    <cellStyle name="Currency [0] 5 74" xfId="1300"/>
    <cellStyle name="Currency [0] 5 8" xfId="1301"/>
    <cellStyle name="Currency [0] 5 9" xfId="1302"/>
    <cellStyle name="Currency 10" xfId="1303"/>
    <cellStyle name="Currency 10 10" xfId="1304"/>
    <cellStyle name="Currency 10 11" xfId="1305"/>
    <cellStyle name="Currency 10 12" xfId="1306"/>
    <cellStyle name="Currency 10 13" xfId="1307"/>
    <cellStyle name="Currency 10 14" xfId="1308"/>
    <cellStyle name="Currency 10 15" xfId="1309"/>
    <cellStyle name="Currency 10 16" xfId="1310"/>
    <cellStyle name="Currency 10 17" xfId="1311"/>
    <cellStyle name="Currency 10 18" xfId="1312"/>
    <cellStyle name="Currency 10 19" xfId="1313"/>
    <cellStyle name="Currency 10 2" xfId="1314"/>
    <cellStyle name="Currency 10 20" xfId="1315"/>
    <cellStyle name="Currency 10 21" xfId="1316"/>
    <cellStyle name="Currency 10 22" xfId="1317"/>
    <cellStyle name="Currency 10 23" xfId="1318"/>
    <cellStyle name="Currency 10 24" xfId="1319"/>
    <cellStyle name="Currency 10 25" xfId="1320"/>
    <cellStyle name="Currency 10 26" xfId="1321"/>
    <cellStyle name="Currency 10 27" xfId="1322"/>
    <cellStyle name="Currency 10 28" xfId="1323"/>
    <cellStyle name="Currency 10 29" xfId="1324"/>
    <cellStyle name="Currency 10 3" xfId="1325"/>
    <cellStyle name="Currency 10 3 10" xfId="1326"/>
    <cellStyle name="Currency 10 3 11" xfId="1327"/>
    <cellStyle name="Currency 10 3 12" xfId="1328"/>
    <cellStyle name="Currency 10 3 13" xfId="1329"/>
    <cellStyle name="Currency 10 3 14" xfId="1330"/>
    <cellStyle name="Currency 10 3 15" xfId="1331"/>
    <cellStyle name="Currency 10 3 16" xfId="1332"/>
    <cellStyle name="Currency 10 3 17" xfId="1333"/>
    <cellStyle name="Currency 10 3 18" xfId="1334"/>
    <cellStyle name="Currency 10 3 19" xfId="1335"/>
    <cellStyle name="Currency 10 3 2" xfId="1336"/>
    <cellStyle name="Currency 10 3 20" xfId="1337"/>
    <cellStyle name="Currency 10 3 21" xfId="1338"/>
    <cellStyle name="Currency 10 3 22" xfId="1339"/>
    <cellStyle name="Currency 10 3 23" xfId="1340"/>
    <cellStyle name="Currency 10 3 24" xfId="1341"/>
    <cellStyle name="Currency 10 3 25" xfId="1342"/>
    <cellStyle name="Currency 10 3 26" xfId="1343"/>
    <cellStyle name="Currency 10 3 3" xfId="1344"/>
    <cellStyle name="Currency 10 3 4" xfId="1345"/>
    <cellStyle name="Currency 10 3 5" xfId="1346"/>
    <cellStyle name="Currency 10 3 6" xfId="1347"/>
    <cellStyle name="Currency 10 3 7" xfId="1348"/>
    <cellStyle name="Currency 10 3 8" xfId="1349"/>
    <cellStyle name="Currency 10 3 9" xfId="1350"/>
    <cellStyle name="Currency 10 30" xfId="1351"/>
    <cellStyle name="Currency 10 31" xfId="1352"/>
    <cellStyle name="Currency 10 32" xfId="1353"/>
    <cellStyle name="Currency 10 33" xfId="1354"/>
    <cellStyle name="Currency 10 34" xfId="1355"/>
    <cellStyle name="Currency 10 35" xfId="1356"/>
    <cellStyle name="Currency 10 36" xfId="1357"/>
    <cellStyle name="Currency 10 37" xfId="1358"/>
    <cellStyle name="Currency 10 38" xfId="1359"/>
    <cellStyle name="Currency 10 39" xfId="1360"/>
    <cellStyle name="Currency 10 4" xfId="1361"/>
    <cellStyle name="Currency 10 40" xfId="1362"/>
    <cellStyle name="Currency 10 41" xfId="1363"/>
    <cellStyle name="Currency 10 42" xfId="1364"/>
    <cellStyle name="Currency 10 43" xfId="1365"/>
    <cellStyle name="Currency 10 44" xfId="1366"/>
    <cellStyle name="Currency 10 45" xfId="1367"/>
    <cellStyle name="Currency 10 46" xfId="1368"/>
    <cellStyle name="Currency 10 47" xfId="1369"/>
    <cellStyle name="Currency 10 48" xfId="1370"/>
    <cellStyle name="Currency 10 49" xfId="1371"/>
    <cellStyle name="Currency 10 5" xfId="1372"/>
    <cellStyle name="Currency 10 5 10" xfId="1373"/>
    <cellStyle name="Currency 10 5 11" xfId="1374"/>
    <cellStyle name="Currency 10 5 12" xfId="1375"/>
    <cellStyle name="Currency 10 5 13" xfId="1376"/>
    <cellStyle name="Currency 10 5 14" xfId="1377"/>
    <cellStyle name="Currency 10 5 15" xfId="1378"/>
    <cellStyle name="Currency 10 5 16" xfId="1379"/>
    <cellStyle name="Currency 10 5 17" xfId="1380"/>
    <cellStyle name="Currency 10 5 18" xfId="1381"/>
    <cellStyle name="Currency 10 5 19" xfId="1382"/>
    <cellStyle name="Currency 10 5 2" xfId="1383"/>
    <cellStyle name="Currency 10 5 20" xfId="1384"/>
    <cellStyle name="Currency 10 5 21" xfId="1385"/>
    <cellStyle name="Currency 10 5 22" xfId="1386"/>
    <cellStyle name="Currency 10 5 23" xfId="1387"/>
    <cellStyle name="Currency 10 5 24" xfId="1388"/>
    <cellStyle name="Currency 10 5 25" xfId="1389"/>
    <cellStyle name="Currency 10 5 26" xfId="1390"/>
    <cellStyle name="Currency 10 5 27" xfId="1391"/>
    <cellStyle name="Currency 10 5 28" xfId="1392"/>
    <cellStyle name="Currency 10 5 29" xfId="1393"/>
    <cellStyle name="Currency 10 5 3" xfId="1394"/>
    <cellStyle name="Currency 10 5 30" xfId="1395"/>
    <cellStyle name="Currency 10 5 31" xfId="1396"/>
    <cellStyle name="Currency 10 5 32" xfId="1397"/>
    <cellStyle name="Currency 10 5 33" xfId="1398"/>
    <cellStyle name="Currency 10 5 34" xfId="1399"/>
    <cellStyle name="Currency 10 5 35" xfId="1400"/>
    <cellStyle name="Currency 10 5 36" xfId="1401"/>
    <cellStyle name="Currency 10 5 37" xfId="1402"/>
    <cellStyle name="Currency 10 5 38" xfId="1403"/>
    <cellStyle name="Currency 10 5 39" xfId="1404"/>
    <cellStyle name="Currency 10 5 4" xfId="1405"/>
    <cellStyle name="Currency 10 5 40" xfId="1406"/>
    <cellStyle name="Currency 10 5 41" xfId="1407"/>
    <cellStyle name="Currency 10 5 42" xfId="1408"/>
    <cellStyle name="Currency 10 5 43" xfId="1409"/>
    <cellStyle name="Currency 10 5 44" xfId="1410"/>
    <cellStyle name="Currency 10 5 45" xfId="1411"/>
    <cellStyle name="Currency 10 5 46" xfId="1412"/>
    <cellStyle name="Currency 10 5 47" xfId="1413"/>
    <cellStyle name="Currency 10 5 48" xfId="1414"/>
    <cellStyle name="Currency 10 5 49" xfId="1415"/>
    <cellStyle name="Currency 10 5 5" xfId="1416"/>
    <cellStyle name="Currency 10 5 50" xfId="1417"/>
    <cellStyle name="Currency 10 5 51" xfId="1418"/>
    <cellStyle name="Currency 10 5 52" xfId="1419"/>
    <cellStyle name="Currency 10 5 53" xfId="1420"/>
    <cellStyle name="Currency 10 5 54" xfId="1421"/>
    <cellStyle name="Currency 10 5 55" xfId="1422"/>
    <cellStyle name="Currency 10 5 56" xfId="1423"/>
    <cellStyle name="Currency 10 5 57" xfId="1424"/>
    <cellStyle name="Currency 10 5 58" xfId="1425"/>
    <cellStyle name="Currency 10 5 59" xfId="1426"/>
    <cellStyle name="Currency 10 5 6" xfId="1427"/>
    <cellStyle name="Currency 10 5 60" xfId="1428"/>
    <cellStyle name="Currency 10 5 61" xfId="1429"/>
    <cellStyle name="Currency 10 5 62" xfId="1430"/>
    <cellStyle name="Currency 10 5 63" xfId="1431"/>
    <cellStyle name="Currency 10 5 64" xfId="1432"/>
    <cellStyle name="Currency 10 5 65" xfId="1433"/>
    <cellStyle name="Currency 10 5 66" xfId="1434"/>
    <cellStyle name="Currency 10 5 67" xfId="1435"/>
    <cellStyle name="Currency 10 5 68" xfId="1436"/>
    <cellStyle name="Currency 10 5 69" xfId="1437"/>
    <cellStyle name="Currency 10 5 7" xfId="1438"/>
    <cellStyle name="Currency 10 5 70" xfId="1439"/>
    <cellStyle name="Currency 10 5 71" xfId="1440"/>
    <cellStyle name="Currency 10 5 8" xfId="1441"/>
    <cellStyle name="Currency 10 5 9" xfId="1442"/>
    <cellStyle name="Currency 10 50" xfId="1443"/>
    <cellStyle name="Currency 10 51" xfId="1444"/>
    <cellStyle name="Currency 10 52" xfId="1445"/>
    <cellStyle name="Currency 10 53" xfId="1446"/>
    <cellStyle name="Currency 10 54" xfId="1447"/>
    <cellStyle name="Currency 10 55" xfId="1448"/>
    <cellStyle name="Currency 10 56" xfId="1449"/>
    <cellStyle name="Currency 10 57" xfId="1450"/>
    <cellStyle name="Currency 10 58" xfId="1451"/>
    <cellStyle name="Currency 10 59" xfId="1452"/>
    <cellStyle name="Currency 10 6" xfId="1453"/>
    <cellStyle name="Currency 10 60" xfId="1454"/>
    <cellStyle name="Currency 10 60 2" xfId="1455"/>
    <cellStyle name="Currency 10 60 3" xfId="1456"/>
    <cellStyle name="Currency 10 60 3 2" xfId="1457"/>
    <cellStyle name="Currency 10 61" xfId="1458"/>
    <cellStyle name="Currency 10 62" xfId="1459"/>
    <cellStyle name="Currency 10 63" xfId="1460"/>
    <cellStyle name="Currency 10 64" xfId="1461"/>
    <cellStyle name="Currency 10 65" xfId="1462"/>
    <cellStyle name="Currency 10 66" xfId="1463"/>
    <cellStyle name="Currency 10 67" xfId="1464"/>
    <cellStyle name="Currency 10 68" xfId="1465"/>
    <cellStyle name="Currency 10 69" xfId="1466"/>
    <cellStyle name="Currency 10 7" xfId="1467"/>
    <cellStyle name="Currency 10 70" xfId="1468"/>
    <cellStyle name="Currency 10 71" xfId="1469"/>
    <cellStyle name="Currency 10 72" xfId="1470"/>
    <cellStyle name="Currency 10 73" xfId="1471"/>
    <cellStyle name="Currency 10 74" xfId="1472"/>
    <cellStyle name="Currency 10 8" xfId="1473"/>
    <cellStyle name="Currency 10 9" xfId="1474"/>
    <cellStyle name="Currency 11" xfId="1475"/>
    <cellStyle name="Currency 12" xfId="1476"/>
    <cellStyle name="Currency 13" xfId="1477"/>
    <cellStyle name="Currency 14" xfId="1478"/>
    <cellStyle name="Currency 15" xfId="1479"/>
    <cellStyle name="Currency 16" xfId="1480"/>
    <cellStyle name="Currency 17" xfId="1481"/>
    <cellStyle name="Currency 18" xfId="1482"/>
    <cellStyle name="Currency 19" xfId="1483"/>
    <cellStyle name="Currency 2" xfId="1484"/>
    <cellStyle name="Currency 2 2" xfId="1485"/>
    <cellStyle name="Currency 2 3" xfId="1486"/>
    <cellStyle name="Currency 20" xfId="1487"/>
    <cellStyle name="Currency 21" xfId="1488"/>
    <cellStyle name="Currency 22" xfId="1489"/>
    <cellStyle name="Currency 23" xfId="1490"/>
    <cellStyle name="Currency 24" xfId="1491"/>
    <cellStyle name="Currency 25" xfId="1492"/>
    <cellStyle name="Currency 26" xfId="1493"/>
    <cellStyle name="Currency 27" xfId="1494"/>
    <cellStyle name="Currency 28" xfId="1495"/>
    <cellStyle name="Currency 29" xfId="1496"/>
    <cellStyle name="Currency 3" xfId="1497"/>
    <cellStyle name="Currency 3 2" xfId="1498"/>
    <cellStyle name="Currency 3 3" xfId="1499"/>
    <cellStyle name="Currency 30" xfId="1500"/>
    <cellStyle name="Currency 31" xfId="1501"/>
    <cellStyle name="Currency 32" xfId="1502"/>
    <cellStyle name="Currency 33" xfId="1503"/>
    <cellStyle name="Currency 34" xfId="1504"/>
    <cellStyle name="Currency 35" xfId="1505"/>
    <cellStyle name="Currency 36" xfId="1506"/>
    <cellStyle name="Currency 37" xfId="1507"/>
    <cellStyle name="Currency 38" xfId="1508"/>
    <cellStyle name="Currency 39" xfId="1509"/>
    <cellStyle name="Currency 4" xfId="1510"/>
    <cellStyle name="Currency 4 10" xfId="1511"/>
    <cellStyle name="Currency 4 11" xfId="1512"/>
    <cellStyle name="Currency 4 12" xfId="1513"/>
    <cellStyle name="Currency 4 13" xfId="1514"/>
    <cellStyle name="Currency 4 14" xfId="1515"/>
    <cellStyle name="Currency 4 15" xfId="1516"/>
    <cellStyle name="Currency 4 16" xfId="1517"/>
    <cellStyle name="Currency 4 17" xfId="1518"/>
    <cellStyle name="Currency 4 18" xfId="1519"/>
    <cellStyle name="Currency 4 19" xfId="1520"/>
    <cellStyle name="Currency 4 2" xfId="1521"/>
    <cellStyle name="Currency 4 20" xfId="1522"/>
    <cellStyle name="Currency 4 21" xfId="1523"/>
    <cellStyle name="Currency 4 22" xfId="1524"/>
    <cellStyle name="Currency 4 23" xfId="1525"/>
    <cellStyle name="Currency 4 24" xfId="1526"/>
    <cellStyle name="Currency 4 25" xfId="1527"/>
    <cellStyle name="Currency 4 26" xfId="1528"/>
    <cellStyle name="Currency 4 27" xfId="1529"/>
    <cellStyle name="Currency 4 28" xfId="1530"/>
    <cellStyle name="Currency 4 29" xfId="1531"/>
    <cellStyle name="Currency 4 3" xfId="1532"/>
    <cellStyle name="Currency 4 30" xfId="1533"/>
    <cellStyle name="Currency 4 31" xfId="1534"/>
    <cellStyle name="Currency 4 32" xfId="1535"/>
    <cellStyle name="Currency 4 33" xfId="1536"/>
    <cellStyle name="Currency 4 34" xfId="1537"/>
    <cellStyle name="Currency 4 35" xfId="1538"/>
    <cellStyle name="Currency 4 36" xfId="1539"/>
    <cellStyle name="Currency 4 37" xfId="1540"/>
    <cellStyle name="Currency 4 38" xfId="1541"/>
    <cellStyle name="Currency 4 39" xfId="1542"/>
    <cellStyle name="Currency 4 4" xfId="1543"/>
    <cellStyle name="Currency 4 40" xfId="1544"/>
    <cellStyle name="Currency 4 41" xfId="1545"/>
    <cellStyle name="Currency 4 42" xfId="1546"/>
    <cellStyle name="Currency 4 43" xfId="1547"/>
    <cellStyle name="Currency 4 44" xfId="1548"/>
    <cellStyle name="Currency 4 45" xfId="1549"/>
    <cellStyle name="Currency 4 46" xfId="1550"/>
    <cellStyle name="Currency 4 47" xfId="1551"/>
    <cellStyle name="Currency 4 48" xfId="1552"/>
    <cellStyle name="Currency 4 49" xfId="1553"/>
    <cellStyle name="Currency 4 5" xfId="1554"/>
    <cellStyle name="Currency 4 50" xfId="1555"/>
    <cellStyle name="Currency 4 51" xfId="1556"/>
    <cellStyle name="Currency 4 52" xfId="1557"/>
    <cellStyle name="Currency 4 53" xfId="1558"/>
    <cellStyle name="Currency 4 54" xfId="1559"/>
    <cellStyle name="Currency 4 55" xfId="1560"/>
    <cellStyle name="Currency 4 56" xfId="1561"/>
    <cellStyle name="Currency 4 57" xfId="1562"/>
    <cellStyle name="Currency 4 58" xfId="1563"/>
    <cellStyle name="Currency 4 59" xfId="1564"/>
    <cellStyle name="Currency 4 6" xfId="1565"/>
    <cellStyle name="Currency 4 60" xfId="1566"/>
    <cellStyle name="Currency 4 61" xfId="1567"/>
    <cellStyle name="Currency 4 62" xfId="1568"/>
    <cellStyle name="Currency 4 63" xfId="1569"/>
    <cellStyle name="Currency 4 64" xfId="1570"/>
    <cellStyle name="Currency 4 7" xfId="1571"/>
    <cellStyle name="Currency 4 8" xfId="1572"/>
    <cellStyle name="Currency 4 9" xfId="1573"/>
    <cellStyle name="Currency 40" xfId="1574"/>
    <cellStyle name="Currency 41" xfId="1575"/>
    <cellStyle name="Currency 42" xfId="1576"/>
    <cellStyle name="Currency 43" xfId="1577"/>
    <cellStyle name="Currency 44" xfId="1578"/>
    <cellStyle name="Currency 45" xfId="1579"/>
    <cellStyle name="Currency 46" xfId="1580"/>
    <cellStyle name="Currency 47" xfId="1581"/>
    <cellStyle name="Currency 48" xfId="1582"/>
    <cellStyle name="Currency 5" xfId="1583"/>
    <cellStyle name="Currency 5 10" xfId="1584"/>
    <cellStyle name="Currency 5 11" xfId="1585"/>
    <cellStyle name="Currency 5 12" xfId="1586"/>
    <cellStyle name="Currency 5 13" xfId="1587"/>
    <cellStyle name="Currency 5 14" xfId="1588"/>
    <cellStyle name="Currency 5 15" xfId="1589"/>
    <cellStyle name="Currency 5 16" xfId="1590"/>
    <cellStyle name="Currency 5 17" xfId="1591"/>
    <cellStyle name="Currency 5 18" xfId="1592"/>
    <cellStyle name="Currency 5 19" xfId="1593"/>
    <cellStyle name="Currency 5 2" xfId="1594"/>
    <cellStyle name="Currency 5 20" xfId="1595"/>
    <cellStyle name="Currency 5 21" xfId="1596"/>
    <cellStyle name="Currency 5 22" xfId="1597"/>
    <cellStyle name="Currency 5 23" xfId="1598"/>
    <cellStyle name="Currency 5 24" xfId="1599"/>
    <cellStyle name="Currency 5 25" xfId="1600"/>
    <cellStyle name="Currency 5 26" xfId="1601"/>
    <cellStyle name="Currency 5 27" xfId="1602"/>
    <cellStyle name="Currency 5 28" xfId="1603"/>
    <cellStyle name="Currency 5 29" xfId="1604"/>
    <cellStyle name="Currency 5 3" xfId="1605"/>
    <cellStyle name="Currency 5 30" xfId="1606"/>
    <cellStyle name="Currency 5 31" xfId="1607"/>
    <cellStyle name="Currency 5 32" xfId="1608"/>
    <cellStyle name="Currency 5 33" xfId="1609"/>
    <cellStyle name="Currency 5 34" xfId="1610"/>
    <cellStyle name="Currency 5 35" xfId="1611"/>
    <cellStyle name="Currency 5 36" xfId="1612"/>
    <cellStyle name="Currency 5 37" xfId="1613"/>
    <cellStyle name="Currency 5 38" xfId="1614"/>
    <cellStyle name="Currency 5 39" xfId="1615"/>
    <cellStyle name="Currency 5 4" xfId="1616"/>
    <cellStyle name="Currency 5 40" xfId="1617"/>
    <cellStyle name="Currency 5 41" xfId="1618"/>
    <cellStyle name="Currency 5 42" xfId="1619"/>
    <cellStyle name="Currency 5 43" xfId="1620"/>
    <cellStyle name="Currency 5 44" xfId="1621"/>
    <cellStyle name="Currency 5 45" xfId="1622"/>
    <cellStyle name="Currency 5 46" xfId="1623"/>
    <cellStyle name="Currency 5 47" xfId="1624"/>
    <cellStyle name="Currency 5 48" xfId="1625"/>
    <cellStyle name="Currency 5 49" xfId="1626"/>
    <cellStyle name="Currency 5 5" xfId="1627"/>
    <cellStyle name="Currency 5 50" xfId="1628"/>
    <cellStyle name="Currency 5 51" xfId="1629"/>
    <cellStyle name="Currency 5 52" xfId="1630"/>
    <cellStyle name="Currency 5 53" xfId="1631"/>
    <cellStyle name="Currency 5 54" xfId="1632"/>
    <cellStyle name="Currency 5 55" xfId="1633"/>
    <cellStyle name="Currency 5 56" xfId="1634"/>
    <cellStyle name="Currency 5 57" xfId="1635"/>
    <cellStyle name="Currency 5 58" xfId="1636"/>
    <cellStyle name="Currency 5 59" xfId="1637"/>
    <cellStyle name="Currency 5 6" xfId="1638"/>
    <cellStyle name="Currency 5 60" xfId="1639"/>
    <cellStyle name="Currency 5 61" xfId="1640"/>
    <cellStyle name="Currency 5 62" xfId="1641"/>
    <cellStyle name="Currency 5 63" xfId="1642"/>
    <cellStyle name="Currency 5 64" xfId="1643"/>
    <cellStyle name="Currency 5 7" xfId="1644"/>
    <cellStyle name="Currency 5 8" xfId="1645"/>
    <cellStyle name="Currency 5 9" xfId="1646"/>
    <cellStyle name="Currency 6" xfId="1647"/>
    <cellStyle name="Currency 6 10" xfId="1648"/>
    <cellStyle name="Currency 6 11" xfId="1649"/>
    <cellStyle name="Currency 6 12" xfId="1650"/>
    <cellStyle name="Currency 6 13" xfId="1651"/>
    <cellStyle name="Currency 6 14" xfId="1652"/>
    <cellStyle name="Currency 6 15" xfId="1653"/>
    <cellStyle name="Currency 6 16" xfId="1654"/>
    <cellStyle name="Currency 6 17" xfId="1655"/>
    <cellStyle name="Currency 6 18" xfId="1656"/>
    <cellStyle name="Currency 6 19" xfId="1657"/>
    <cellStyle name="Currency 6 2" xfId="1658"/>
    <cellStyle name="Currency 6 20" xfId="1659"/>
    <cellStyle name="Currency 6 21" xfId="1660"/>
    <cellStyle name="Currency 6 22" xfId="1661"/>
    <cellStyle name="Currency 6 23" xfId="1662"/>
    <cellStyle name="Currency 6 24" xfId="1663"/>
    <cellStyle name="Currency 6 25" xfId="1664"/>
    <cellStyle name="Currency 6 26" xfId="1665"/>
    <cellStyle name="Currency 6 27" xfId="1666"/>
    <cellStyle name="Currency 6 28" xfId="1667"/>
    <cellStyle name="Currency 6 29" xfId="1668"/>
    <cellStyle name="Currency 6 3" xfId="1669"/>
    <cellStyle name="Currency 6 30" xfId="1670"/>
    <cellStyle name="Currency 6 31" xfId="1671"/>
    <cellStyle name="Currency 6 32" xfId="1672"/>
    <cellStyle name="Currency 6 33" xfId="1673"/>
    <cellStyle name="Currency 6 34" xfId="1674"/>
    <cellStyle name="Currency 6 35" xfId="1675"/>
    <cellStyle name="Currency 6 36" xfId="1676"/>
    <cellStyle name="Currency 6 37" xfId="1677"/>
    <cellStyle name="Currency 6 38" xfId="1678"/>
    <cellStyle name="Currency 6 39" xfId="1679"/>
    <cellStyle name="Currency 6 4" xfId="1680"/>
    <cellStyle name="Currency 6 40" xfId="1681"/>
    <cellStyle name="Currency 6 41" xfId="1682"/>
    <cellStyle name="Currency 6 42" xfId="1683"/>
    <cellStyle name="Currency 6 43" xfId="1684"/>
    <cellStyle name="Currency 6 44" xfId="1685"/>
    <cellStyle name="Currency 6 45" xfId="1686"/>
    <cellStyle name="Currency 6 46" xfId="1687"/>
    <cellStyle name="Currency 6 47" xfId="1688"/>
    <cellStyle name="Currency 6 48" xfId="1689"/>
    <cellStyle name="Currency 6 49" xfId="1690"/>
    <cellStyle name="Currency 6 5" xfId="1691"/>
    <cellStyle name="Currency 6 50" xfId="1692"/>
    <cellStyle name="Currency 6 51" xfId="1693"/>
    <cellStyle name="Currency 6 52" xfId="1694"/>
    <cellStyle name="Currency 6 53" xfId="1695"/>
    <cellStyle name="Currency 6 54" xfId="1696"/>
    <cellStyle name="Currency 6 55" xfId="1697"/>
    <cellStyle name="Currency 6 56" xfId="1698"/>
    <cellStyle name="Currency 6 57" xfId="1699"/>
    <cellStyle name="Currency 6 58" xfId="1700"/>
    <cellStyle name="Currency 6 59" xfId="1701"/>
    <cellStyle name="Currency 6 6" xfId="1702"/>
    <cellStyle name="Currency 6 60" xfId="1703"/>
    <cellStyle name="Currency 6 61" xfId="1704"/>
    <cellStyle name="Currency 6 62" xfId="1705"/>
    <cellStyle name="Currency 6 63" xfId="1706"/>
    <cellStyle name="Currency 6 7" xfId="1707"/>
    <cellStyle name="Currency 6 8" xfId="1708"/>
    <cellStyle name="Currency 6 9" xfId="1709"/>
    <cellStyle name="Currency 7" xfId="1710"/>
    <cellStyle name="Currency 7 10" xfId="1711"/>
    <cellStyle name="Currency 7 11" xfId="1712"/>
    <cellStyle name="Currency 7 12" xfId="1713"/>
    <cellStyle name="Currency 7 13" xfId="1714"/>
    <cellStyle name="Currency 7 14" xfId="1715"/>
    <cellStyle name="Currency 7 15" xfId="1716"/>
    <cellStyle name="Currency 7 16" xfId="1717"/>
    <cellStyle name="Currency 7 17" xfId="1718"/>
    <cellStyle name="Currency 7 18" xfId="1719"/>
    <cellStyle name="Currency 7 19" xfId="1720"/>
    <cellStyle name="Currency 7 2" xfId="1721"/>
    <cellStyle name="Currency 7 20" xfId="1722"/>
    <cellStyle name="Currency 7 21" xfId="1723"/>
    <cellStyle name="Currency 7 22" xfId="1724"/>
    <cellStyle name="Currency 7 23" xfId="1725"/>
    <cellStyle name="Currency 7 24" xfId="1726"/>
    <cellStyle name="Currency 7 25" xfId="1727"/>
    <cellStyle name="Currency 7 26" xfId="1728"/>
    <cellStyle name="Currency 7 27" xfId="1729"/>
    <cellStyle name="Currency 7 28" xfId="1730"/>
    <cellStyle name="Currency 7 29" xfId="1731"/>
    <cellStyle name="Currency 7 3" xfId="1732"/>
    <cellStyle name="Currency 7 30" xfId="1733"/>
    <cellStyle name="Currency 7 31" xfId="1734"/>
    <cellStyle name="Currency 7 32" xfId="1735"/>
    <cellStyle name="Currency 7 33" xfId="1736"/>
    <cellStyle name="Currency 7 34" xfId="1737"/>
    <cellStyle name="Currency 7 35" xfId="1738"/>
    <cellStyle name="Currency 7 36" xfId="1739"/>
    <cellStyle name="Currency 7 37" xfId="1740"/>
    <cellStyle name="Currency 7 38" xfId="1741"/>
    <cellStyle name="Currency 7 39" xfId="1742"/>
    <cellStyle name="Currency 7 4" xfId="1743"/>
    <cellStyle name="Currency 7 40" xfId="1744"/>
    <cellStyle name="Currency 7 41" xfId="1745"/>
    <cellStyle name="Currency 7 42" xfId="1746"/>
    <cellStyle name="Currency 7 43" xfId="1747"/>
    <cellStyle name="Currency 7 44" xfId="1748"/>
    <cellStyle name="Currency 7 45" xfId="1749"/>
    <cellStyle name="Currency 7 46" xfId="1750"/>
    <cellStyle name="Currency 7 47" xfId="1751"/>
    <cellStyle name="Currency 7 48" xfId="1752"/>
    <cellStyle name="Currency 7 49" xfId="1753"/>
    <cellStyle name="Currency 7 5" xfId="1754"/>
    <cellStyle name="Currency 7 50" xfId="1755"/>
    <cellStyle name="Currency 7 51" xfId="1756"/>
    <cellStyle name="Currency 7 52" xfId="1757"/>
    <cellStyle name="Currency 7 53" xfId="1758"/>
    <cellStyle name="Currency 7 54" xfId="1759"/>
    <cellStyle name="Currency 7 55" xfId="1760"/>
    <cellStyle name="Currency 7 56" xfId="1761"/>
    <cellStyle name="Currency 7 57" xfId="1762"/>
    <cellStyle name="Currency 7 58" xfId="1763"/>
    <cellStyle name="Currency 7 59" xfId="1764"/>
    <cellStyle name="Currency 7 6" xfId="1765"/>
    <cellStyle name="Currency 7 60" xfId="1766"/>
    <cellStyle name="Currency 7 61" xfId="1767"/>
    <cellStyle name="Currency 7 62" xfId="1768"/>
    <cellStyle name="Currency 7 63" xfId="1769"/>
    <cellStyle name="Currency 7 7" xfId="1770"/>
    <cellStyle name="Currency 7 8" xfId="1771"/>
    <cellStyle name="Currency 7 9" xfId="1772"/>
    <cellStyle name="Currency 8" xfId="1773"/>
    <cellStyle name="Currency 8 10" xfId="1774"/>
    <cellStyle name="Currency 8 11" xfId="1775"/>
    <cellStyle name="Currency 8 12" xfId="1776"/>
    <cellStyle name="Currency 8 13" xfId="1777"/>
    <cellStyle name="Currency 8 14" xfId="1778"/>
    <cellStyle name="Currency 8 15" xfId="1779"/>
    <cellStyle name="Currency 8 16" xfId="1780"/>
    <cellStyle name="Currency 8 17" xfId="1781"/>
    <cellStyle name="Currency 8 18" xfId="1782"/>
    <cellStyle name="Currency 8 19" xfId="1783"/>
    <cellStyle name="Currency 8 2" xfId="1784"/>
    <cellStyle name="Currency 8 20" xfId="1785"/>
    <cellStyle name="Currency 8 21" xfId="1786"/>
    <cellStyle name="Currency 8 22" xfId="1787"/>
    <cellStyle name="Currency 8 23" xfId="1788"/>
    <cellStyle name="Currency 8 24" xfId="1789"/>
    <cellStyle name="Currency 8 25" xfId="1790"/>
    <cellStyle name="Currency 8 26" xfId="1791"/>
    <cellStyle name="Currency 8 27" xfId="1792"/>
    <cellStyle name="Currency 8 28" xfId="1793"/>
    <cellStyle name="Currency 8 29" xfId="1794"/>
    <cellStyle name="Currency 8 3" xfId="1795"/>
    <cellStyle name="Currency 8 30" xfId="1796"/>
    <cellStyle name="Currency 8 31" xfId="1797"/>
    <cellStyle name="Currency 8 32" xfId="1798"/>
    <cellStyle name="Currency 8 33" xfId="1799"/>
    <cellStyle name="Currency 8 34" xfId="1800"/>
    <cellStyle name="Currency 8 35" xfId="1801"/>
    <cellStyle name="Currency 8 36" xfId="1802"/>
    <cellStyle name="Currency 8 37" xfId="1803"/>
    <cellStyle name="Currency 8 38" xfId="1804"/>
    <cellStyle name="Currency 8 39" xfId="1805"/>
    <cellStyle name="Currency 8 4" xfId="1806"/>
    <cellStyle name="Currency 8 40" xfId="1807"/>
    <cellStyle name="Currency 8 41" xfId="1808"/>
    <cellStyle name="Currency 8 42" xfId="1809"/>
    <cellStyle name="Currency 8 43" xfId="1810"/>
    <cellStyle name="Currency 8 44" xfId="1811"/>
    <cellStyle name="Currency 8 45" xfId="1812"/>
    <cellStyle name="Currency 8 46" xfId="1813"/>
    <cellStyle name="Currency 8 47" xfId="1814"/>
    <cellStyle name="Currency 8 48" xfId="1815"/>
    <cellStyle name="Currency 8 49" xfId="1816"/>
    <cellStyle name="Currency 8 5" xfId="1817"/>
    <cellStyle name="Currency 8 50" xfId="1818"/>
    <cellStyle name="Currency 8 51" xfId="1819"/>
    <cellStyle name="Currency 8 52" xfId="1820"/>
    <cellStyle name="Currency 8 53" xfId="1821"/>
    <cellStyle name="Currency 8 54" xfId="1822"/>
    <cellStyle name="Currency 8 55" xfId="1823"/>
    <cellStyle name="Currency 8 56" xfId="1824"/>
    <cellStyle name="Currency 8 57" xfId="1825"/>
    <cellStyle name="Currency 8 58" xfId="1826"/>
    <cellStyle name="Currency 8 59" xfId="1827"/>
    <cellStyle name="Currency 8 6" xfId="1828"/>
    <cellStyle name="Currency 8 60" xfId="1829"/>
    <cellStyle name="Currency 8 61" xfId="1830"/>
    <cellStyle name="Currency 8 62" xfId="1831"/>
    <cellStyle name="Currency 8 63" xfId="1832"/>
    <cellStyle name="Currency 8 64" xfId="1833"/>
    <cellStyle name="Currency 8 7" xfId="1834"/>
    <cellStyle name="Currency 8 8" xfId="1835"/>
    <cellStyle name="Currency 8 9" xfId="1836"/>
    <cellStyle name="Currency 9" xfId="1837"/>
    <cellStyle name="Currency 9 10" xfId="1838"/>
    <cellStyle name="Currency 9 11" xfId="1839"/>
    <cellStyle name="Currency 9 12" xfId="1840"/>
    <cellStyle name="Currency 9 13" xfId="1841"/>
    <cellStyle name="Currency 9 14" xfId="1842"/>
    <cellStyle name="Currency 9 15" xfId="1843"/>
    <cellStyle name="Currency 9 16" xfId="1844"/>
    <cellStyle name="Currency 9 17" xfId="1845"/>
    <cellStyle name="Currency 9 18" xfId="1846"/>
    <cellStyle name="Currency 9 19" xfId="1847"/>
    <cellStyle name="Currency 9 2" xfId="1848"/>
    <cellStyle name="Currency 9 20" xfId="1849"/>
    <cellStyle name="Currency 9 21" xfId="1850"/>
    <cellStyle name="Currency 9 22" xfId="1851"/>
    <cellStyle name="Currency 9 23" xfId="1852"/>
    <cellStyle name="Currency 9 24" xfId="1853"/>
    <cellStyle name="Currency 9 25" xfId="1854"/>
    <cellStyle name="Currency 9 26" xfId="1855"/>
    <cellStyle name="Currency 9 27" xfId="1856"/>
    <cellStyle name="Currency 9 28" xfId="1857"/>
    <cellStyle name="Currency 9 29" xfId="1858"/>
    <cellStyle name="Currency 9 3" xfId="1859"/>
    <cellStyle name="Currency 9 30" xfId="1860"/>
    <cellStyle name="Currency 9 31" xfId="1861"/>
    <cellStyle name="Currency 9 32" xfId="1862"/>
    <cellStyle name="Currency 9 33" xfId="1863"/>
    <cellStyle name="Currency 9 34" xfId="1864"/>
    <cellStyle name="Currency 9 35" xfId="1865"/>
    <cellStyle name="Currency 9 36" xfId="1866"/>
    <cellStyle name="Currency 9 37" xfId="1867"/>
    <cellStyle name="Currency 9 38" xfId="1868"/>
    <cellStyle name="Currency 9 39" xfId="1869"/>
    <cellStyle name="Currency 9 4" xfId="1870"/>
    <cellStyle name="Currency 9 40" xfId="1871"/>
    <cellStyle name="Currency 9 41" xfId="1872"/>
    <cellStyle name="Currency 9 42" xfId="1873"/>
    <cellStyle name="Currency 9 43" xfId="1874"/>
    <cellStyle name="Currency 9 44" xfId="1875"/>
    <cellStyle name="Currency 9 45" xfId="1876"/>
    <cellStyle name="Currency 9 46" xfId="1877"/>
    <cellStyle name="Currency 9 47" xfId="1878"/>
    <cellStyle name="Currency 9 48" xfId="1879"/>
    <cellStyle name="Currency 9 49" xfId="1880"/>
    <cellStyle name="Currency 9 5" xfId="1881"/>
    <cellStyle name="Currency 9 50" xfId="1882"/>
    <cellStyle name="Currency 9 51" xfId="1883"/>
    <cellStyle name="Currency 9 52" xfId="1884"/>
    <cellStyle name="Currency 9 53" xfId="1885"/>
    <cellStyle name="Currency 9 54" xfId="1886"/>
    <cellStyle name="Currency 9 55" xfId="1887"/>
    <cellStyle name="Currency 9 56" xfId="1888"/>
    <cellStyle name="Currency 9 57" xfId="1889"/>
    <cellStyle name="Currency 9 58" xfId="1890"/>
    <cellStyle name="Currency 9 59" xfId="1891"/>
    <cellStyle name="Currency 9 6" xfId="1892"/>
    <cellStyle name="Currency 9 60" xfId="1893"/>
    <cellStyle name="Currency 9 61" xfId="1894"/>
    <cellStyle name="Currency 9 62" xfId="1895"/>
    <cellStyle name="Currency 9 63" xfId="1896"/>
    <cellStyle name="Currency 9 7" xfId="1897"/>
    <cellStyle name="Currency 9 8" xfId="1898"/>
    <cellStyle name="Currency 9 9" xfId="1899"/>
    <cellStyle name="Double Line 25.5" xfId="1900"/>
    <cellStyle name="Explanatory Text" xfId="15" builtinId="53" customBuiltin="1"/>
    <cellStyle name="Extra space" xfId="1901"/>
    <cellStyle name="Good" xfId="5" builtinId="26" customBuiltin="1"/>
    <cellStyle name="Grey" xfId="2800"/>
    <cellStyle name="Heading 1" xfId="1" builtinId="16" customBuiltin="1"/>
    <cellStyle name="Heading 2" xfId="2" builtinId="17" customBuiltin="1"/>
    <cellStyle name="Heading 3" xfId="3" builtinId="18" customBuiltin="1"/>
    <cellStyle name="Heading 4" xfId="4" builtinId="19" customBuiltin="1"/>
    <cellStyle name="Hyperlink 2" xfId="1902"/>
    <cellStyle name="Hyperlink 3" xfId="1903"/>
    <cellStyle name="Hyperlink 4" xfId="1904"/>
    <cellStyle name="Input" xfId="8" builtinId="20" customBuiltin="1"/>
    <cellStyle name="Input [yellow]" xfId="2801"/>
    <cellStyle name="Item Tag" xfId="1905"/>
    <cellStyle name="Line (top, bottom heavy)" xfId="1906"/>
    <cellStyle name="Linked Cell" xfId="11" builtinId="24" customBuiltin="1"/>
    <cellStyle name="Neutral" xfId="7" builtinId="28" customBuiltin="1"/>
    <cellStyle name="no dec" xfId="2802"/>
    <cellStyle name="Normal" xfId="0" builtinId="0"/>
    <cellStyle name="Normal - Style1" xfId="2803"/>
    <cellStyle name="Normal 10" xfId="1907"/>
    <cellStyle name="Normal 11" xfId="1908"/>
    <cellStyle name="Normal 11 3" xfId="2804"/>
    <cellStyle name="Normal 12" xfId="1909"/>
    <cellStyle name="Normal 12 10" xfId="1910"/>
    <cellStyle name="Normal 13" xfId="1911"/>
    <cellStyle name="Normal 14" xfId="1912"/>
    <cellStyle name="Normal 18" xfId="2805"/>
    <cellStyle name="Normal 19" xfId="2806"/>
    <cellStyle name="Normal 2" xfId="1913"/>
    <cellStyle name="Normal 2 2" xfId="1914"/>
    <cellStyle name="Normal 2 2 2" xfId="2807"/>
    <cellStyle name="Normal 2 248" xfId="1915"/>
    <cellStyle name="Normal 2 3" xfId="1916"/>
    <cellStyle name="Normal 2 3 2" xfId="2808"/>
    <cellStyle name="Normal 2 4" xfId="2809"/>
    <cellStyle name="Normal 2_4Q 2010 Non-GAAP Reconciliation_WEB" xfId="1917"/>
    <cellStyle name="Normal 20" xfId="2810"/>
    <cellStyle name="Normal 244" xfId="1918"/>
    <cellStyle name="Normal 245" xfId="1919"/>
    <cellStyle name="Normal 246" xfId="1920"/>
    <cellStyle name="Normal 26" xfId="2811"/>
    <cellStyle name="Normal 3" xfId="42"/>
    <cellStyle name="Normal 3 10" xfId="1921"/>
    <cellStyle name="Normal 3 11" xfId="1922"/>
    <cellStyle name="Normal 3 12" xfId="1923"/>
    <cellStyle name="Normal 3 13" xfId="1924"/>
    <cellStyle name="Normal 3 14" xfId="1925"/>
    <cellStyle name="Normal 3 15" xfId="1926"/>
    <cellStyle name="Normal 3 16" xfId="1927"/>
    <cellStyle name="Normal 3 17" xfId="1928"/>
    <cellStyle name="Normal 3 18" xfId="1929"/>
    <cellStyle name="Normal 3 19" xfId="1930"/>
    <cellStyle name="Normal 3 2" xfId="1931"/>
    <cellStyle name="Normal 3 20" xfId="1932"/>
    <cellStyle name="Normal 3 21" xfId="1933"/>
    <cellStyle name="Normal 3 22" xfId="1934"/>
    <cellStyle name="Normal 3 23" xfId="1935"/>
    <cellStyle name="Normal 3 24" xfId="1936"/>
    <cellStyle name="Normal 3 25" xfId="1937"/>
    <cellStyle name="Normal 3 26" xfId="1938"/>
    <cellStyle name="Normal 3 27" xfId="1939"/>
    <cellStyle name="Normal 3 28" xfId="1940"/>
    <cellStyle name="Normal 3 29" xfId="1941"/>
    <cellStyle name="Normal 3 3" xfId="1942"/>
    <cellStyle name="Normal 3 30" xfId="1943"/>
    <cellStyle name="Normal 3 31" xfId="1944"/>
    <cellStyle name="Normal 3 32" xfId="1945"/>
    <cellStyle name="Normal 3 33" xfId="1946"/>
    <cellStyle name="Normal 3 34" xfId="1947"/>
    <cellStyle name="Normal 3 35" xfId="1948"/>
    <cellStyle name="Normal 3 36" xfId="1949"/>
    <cellStyle name="Normal 3 37" xfId="1950"/>
    <cellStyle name="Normal 3 38" xfId="1951"/>
    <cellStyle name="Normal 3 39" xfId="1952"/>
    <cellStyle name="Normal 3 4" xfId="1953"/>
    <cellStyle name="Normal 3 40" xfId="1954"/>
    <cellStyle name="Normal 3 41" xfId="1955"/>
    <cellStyle name="Normal 3 42" xfId="1956"/>
    <cellStyle name="Normal 3 43" xfId="1957"/>
    <cellStyle name="Normal 3 44" xfId="1958"/>
    <cellStyle name="Normal 3 45" xfId="1959"/>
    <cellStyle name="Normal 3 46" xfId="1960"/>
    <cellStyle name="Normal 3 47" xfId="1961"/>
    <cellStyle name="Normal 3 48" xfId="1962"/>
    <cellStyle name="Normal 3 49" xfId="1963"/>
    <cellStyle name="Normal 3 5" xfId="1964"/>
    <cellStyle name="Normal 3 50" xfId="1965"/>
    <cellStyle name="Normal 3 51" xfId="1966"/>
    <cellStyle name="Normal 3 52" xfId="1967"/>
    <cellStyle name="Normal 3 53" xfId="1968"/>
    <cellStyle name="Normal 3 54" xfId="1969"/>
    <cellStyle name="Normal 3 55" xfId="1970"/>
    <cellStyle name="Normal 3 56" xfId="1971"/>
    <cellStyle name="Normal 3 57" xfId="1972"/>
    <cellStyle name="Normal 3 58" xfId="1973"/>
    <cellStyle name="Normal 3 59" xfId="1974"/>
    <cellStyle name="Normal 3 6" xfId="1975"/>
    <cellStyle name="Normal 3 60" xfId="1976"/>
    <cellStyle name="Normal 3 61" xfId="1977"/>
    <cellStyle name="Normal 3 62" xfId="1978"/>
    <cellStyle name="Normal 3 63" xfId="1979"/>
    <cellStyle name="Normal 3 64" xfId="1980"/>
    <cellStyle name="Normal 3 65" xfId="1981"/>
    <cellStyle name="Normal 3 66" xfId="1982"/>
    <cellStyle name="Normal 3 7" xfId="1983"/>
    <cellStyle name="Normal 3 8" xfId="1984"/>
    <cellStyle name="Normal 3 9" xfId="1985"/>
    <cellStyle name="Normal 349" xfId="1986"/>
    <cellStyle name="Normal 4" xfId="43"/>
    <cellStyle name="Normal 4 10" xfId="1987"/>
    <cellStyle name="Normal 4 11" xfId="1988"/>
    <cellStyle name="Normal 4 12" xfId="1989"/>
    <cellStyle name="Normal 4 13" xfId="1990"/>
    <cellStyle name="Normal 4 14" xfId="1991"/>
    <cellStyle name="Normal 4 15" xfId="1992"/>
    <cellStyle name="Normal 4 16" xfId="1993"/>
    <cellStyle name="Normal 4 17" xfId="1994"/>
    <cellStyle name="Normal 4 18" xfId="1995"/>
    <cellStyle name="Normal 4 19" xfId="1996"/>
    <cellStyle name="Normal 4 2" xfId="1997"/>
    <cellStyle name="Normal 4 20" xfId="1998"/>
    <cellStyle name="Normal 4 21" xfId="1999"/>
    <cellStyle name="Normal 4 22" xfId="2000"/>
    <cellStyle name="Normal 4 23" xfId="2001"/>
    <cellStyle name="Normal 4 24" xfId="2002"/>
    <cellStyle name="Normal 4 25" xfId="2003"/>
    <cellStyle name="Normal 4 26" xfId="2004"/>
    <cellStyle name="Normal 4 27" xfId="2005"/>
    <cellStyle name="Normal 4 28" xfId="2006"/>
    <cellStyle name="Normal 4 29" xfId="2007"/>
    <cellStyle name="Normal 4 3" xfId="2008"/>
    <cellStyle name="Normal 4 30" xfId="2009"/>
    <cellStyle name="Normal 4 31" xfId="2010"/>
    <cellStyle name="Normal 4 32" xfId="2011"/>
    <cellStyle name="Normal 4 33" xfId="2012"/>
    <cellStyle name="Normal 4 34" xfId="2013"/>
    <cellStyle name="Normal 4 35" xfId="2014"/>
    <cellStyle name="Normal 4 36" xfId="2015"/>
    <cellStyle name="Normal 4 37" xfId="2016"/>
    <cellStyle name="Normal 4 38" xfId="2017"/>
    <cellStyle name="Normal 4 39" xfId="2018"/>
    <cellStyle name="Normal 4 4" xfId="2019"/>
    <cellStyle name="Normal 4 40" xfId="2020"/>
    <cellStyle name="Normal 4 41" xfId="2021"/>
    <cellStyle name="Normal 4 42" xfId="2022"/>
    <cellStyle name="Normal 4 43" xfId="2023"/>
    <cellStyle name="Normal 4 44" xfId="2024"/>
    <cellStyle name="Normal 4 45" xfId="2025"/>
    <cellStyle name="Normal 4 46" xfId="2026"/>
    <cellStyle name="Normal 4 47" xfId="2027"/>
    <cellStyle name="Normal 4 48" xfId="2028"/>
    <cellStyle name="Normal 4 49" xfId="2029"/>
    <cellStyle name="Normal 4 5" xfId="2030"/>
    <cellStyle name="Normal 4 50" xfId="2031"/>
    <cellStyle name="Normal 4 51" xfId="2032"/>
    <cellStyle name="Normal 4 52" xfId="2033"/>
    <cellStyle name="Normal 4 53" xfId="2034"/>
    <cellStyle name="Normal 4 54" xfId="2035"/>
    <cellStyle name="Normal 4 55" xfId="2036"/>
    <cellStyle name="Normal 4 56" xfId="2037"/>
    <cellStyle name="Normal 4 57" xfId="2038"/>
    <cellStyle name="Normal 4 58" xfId="2039"/>
    <cellStyle name="Normal 4 59" xfId="2040"/>
    <cellStyle name="Normal 4 6" xfId="2041"/>
    <cellStyle name="Normal 4 60" xfId="2042"/>
    <cellStyle name="Normal 4 61" xfId="2043"/>
    <cellStyle name="Normal 4 62" xfId="2044"/>
    <cellStyle name="Normal 4 63" xfId="2045"/>
    <cellStyle name="Normal 4 64" xfId="2046"/>
    <cellStyle name="Normal 4 65" xfId="2047"/>
    <cellStyle name="Normal 4 66" xfId="2048"/>
    <cellStyle name="Normal 4 7" xfId="2049"/>
    <cellStyle name="Normal 4 8" xfId="2050"/>
    <cellStyle name="Normal 4 9" xfId="2051"/>
    <cellStyle name="Normal 5" xfId="2052"/>
    <cellStyle name="Normal 5 10" xfId="2053"/>
    <cellStyle name="Normal 5 11" xfId="2054"/>
    <cellStyle name="Normal 5 12" xfId="2055"/>
    <cellStyle name="Normal 5 13" xfId="2056"/>
    <cellStyle name="Normal 5 14" xfId="2057"/>
    <cellStyle name="Normal 5 15" xfId="2058"/>
    <cellStyle name="Normal 5 16" xfId="2059"/>
    <cellStyle name="Normal 5 17" xfId="2060"/>
    <cellStyle name="Normal 5 18" xfId="2061"/>
    <cellStyle name="Normal 5 19" xfId="2062"/>
    <cellStyle name="Normal 5 2" xfId="2063"/>
    <cellStyle name="Normal 5 20" xfId="2064"/>
    <cellStyle name="Normal 5 21" xfId="2065"/>
    <cellStyle name="Normal 5 22" xfId="2066"/>
    <cellStyle name="Normal 5 23" xfId="2067"/>
    <cellStyle name="Normal 5 24" xfId="2068"/>
    <cellStyle name="Normal 5 25" xfId="2069"/>
    <cellStyle name="Normal 5 26" xfId="2070"/>
    <cellStyle name="Normal 5 27" xfId="2071"/>
    <cellStyle name="Normal 5 28" xfId="2072"/>
    <cellStyle name="Normal 5 29" xfId="2073"/>
    <cellStyle name="Normal 5 3" xfId="2074"/>
    <cellStyle name="Normal 5 30" xfId="2075"/>
    <cellStyle name="Normal 5 31" xfId="2076"/>
    <cellStyle name="Normal 5 32" xfId="2077"/>
    <cellStyle name="Normal 5 33" xfId="2078"/>
    <cellStyle name="Normal 5 34" xfId="2079"/>
    <cellStyle name="Normal 5 35" xfId="2080"/>
    <cellStyle name="Normal 5 36" xfId="2081"/>
    <cellStyle name="Normal 5 37" xfId="2082"/>
    <cellStyle name="Normal 5 38" xfId="2083"/>
    <cellStyle name="Normal 5 39" xfId="2084"/>
    <cellStyle name="Normal 5 4" xfId="2085"/>
    <cellStyle name="Normal 5 40" xfId="2086"/>
    <cellStyle name="Normal 5 41" xfId="2087"/>
    <cellStyle name="Normal 5 42" xfId="2088"/>
    <cellStyle name="Normal 5 43" xfId="2089"/>
    <cellStyle name="Normal 5 44" xfId="2090"/>
    <cellStyle name="Normal 5 45" xfId="2091"/>
    <cellStyle name="Normal 5 46" xfId="2092"/>
    <cellStyle name="Normal 5 47" xfId="2093"/>
    <cellStyle name="Normal 5 48" xfId="2094"/>
    <cellStyle name="Normal 5 49" xfId="2095"/>
    <cellStyle name="Normal 5 5" xfId="2096"/>
    <cellStyle name="Normal 5 50" xfId="2097"/>
    <cellStyle name="Normal 5 51" xfId="2098"/>
    <cellStyle name="Normal 5 52" xfId="2099"/>
    <cellStyle name="Normal 5 53" xfId="2100"/>
    <cellStyle name="Normal 5 54" xfId="2101"/>
    <cellStyle name="Normal 5 55" xfId="2102"/>
    <cellStyle name="Normal 5 56" xfId="2103"/>
    <cellStyle name="Normal 5 57" xfId="2104"/>
    <cellStyle name="Normal 5 58" xfId="2105"/>
    <cellStyle name="Normal 5 59" xfId="2106"/>
    <cellStyle name="Normal 5 6" xfId="2107"/>
    <cellStyle name="Normal 5 60" xfId="2108"/>
    <cellStyle name="Normal 5 61" xfId="2109"/>
    <cellStyle name="Normal 5 62" xfId="2110"/>
    <cellStyle name="Normal 5 63" xfId="2111"/>
    <cellStyle name="Normal 5 64" xfId="2112"/>
    <cellStyle name="Normal 5 65" xfId="2113"/>
    <cellStyle name="Normal 5 66" xfId="2114"/>
    <cellStyle name="Normal 5 7" xfId="2115"/>
    <cellStyle name="Normal 5 8" xfId="2116"/>
    <cellStyle name="Normal 5 9" xfId="2117"/>
    <cellStyle name="Normal 6" xfId="2118"/>
    <cellStyle name="Normal 6 10" xfId="2119"/>
    <cellStyle name="Normal 6 11" xfId="2120"/>
    <cellStyle name="Normal 6 12" xfId="2121"/>
    <cellStyle name="Normal 6 13" xfId="2122"/>
    <cellStyle name="Normal 6 14" xfId="2123"/>
    <cellStyle name="Normal 6 15" xfId="2124"/>
    <cellStyle name="Normal 6 16" xfId="2125"/>
    <cellStyle name="Normal 6 17" xfId="2126"/>
    <cellStyle name="Normal 6 18" xfId="2127"/>
    <cellStyle name="Normal 6 19" xfId="2128"/>
    <cellStyle name="Normal 6 2" xfId="2129"/>
    <cellStyle name="Normal 6 20" xfId="2130"/>
    <cellStyle name="Normal 6 21" xfId="2131"/>
    <cellStyle name="Normal 6 22" xfId="2132"/>
    <cellStyle name="Normal 6 23" xfId="2133"/>
    <cellStyle name="Normal 6 24" xfId="2134"/>
    <cellStyle name="Normal 6 25" xfId="2135"/>
    <cellStyle name="Normal 6 26" xfId="2136"/>
    <cellStyle name="Normal 6 27" xfId="2137"/>
    <cellStyle name="Normal 6 28" xfId="2138"/>
    <cellStyle name="Normal 6 29" xfId="2139"/>
    <cellStyle name="Normal 6 3" xfId="2140"/>
    <cellStyle name="Normal 6 30" xfId="2141"/>
    <cellStyle name="Normal 6 31" xfId="2142"/>
    <cellStyle name="Normal 6 32" xfId="2143"/>
    <cellStyle name="Normal 6 33" xfId="2144"/>
    <cellStyle name="Normal 6 34" xfId="2145"/>
    <cellStyle name="Normal 6 35" xfId="2146"/>
    <cellStyle name="Normal 6 36" xfId="2147"/>
    <cellStyle name="Normal 6 37" xfId="2148"/>
    <cellStyle name="Normal 6 38" xfId="2149"/>
    <cellStyle name="Normal 6 39" xfId="2150"/>
    <cellStyle name="Normal 6 4" xfId="2151"/>
    <cellStyle name="Normal 6 40" xfId="2152"/>
    <cellStyle name="Normal 6 41" xfId="2153"/>
    <cellStyle name="Normal 6 42" xfId="2154"/>
    <cellStyle name="Normal 6 43" xfId="2155"/>
    <cellStyle name="Normal 6 44" xfId="2156"/>
    <cellStyle name="Normal 6 45" xfId="2157"/>
    <cellStyle name="Normal 6 46" xfId="2158"/>
    <cellStyle name="Normal 6 47" xfId="2159"/>
    <cellStyle name="Normal 6 48" xfId="2160"/>
    <cellStyle name="Normal 6 49" xfId="2161"/>
    <cellStyle name="Normal 6 5" xfId="2162"/>
    <cellStyle name="Normal 6 50" xfId="2163"/>
    <cellStyle name="Normal 6 51" xfId="2164"/>
    <cellStyle name="Normal 6 52" xfId="2165"/>
    <cellStyle name="Normal 6 53" xfId="2166"/>
    <cellStyle name="Normal 6 54" xfId="2167"/>
    <cellStyle name="Normal 6 55" xfId="2168"/>
    <cellStyle name="Normal 6 56" xfId="2169"/>
    <cellStyle name="Normal 6 57" xfId="2170"/>
    <cellStyle name="Normal 6 58" xfId="2171"/>
    <cellStyle name="Normal 6 59" xfId="2172"/>
    <cellStyle name="Normal 6 6" xfId="2173"/>
    <cellStyle name="Normal 6 60" xfId="2174"/>
    <cellStyle name="Normal 6 61" xfId="2175"/>
    <cellStyle name="Normal 6 62" xfId="2176"/>
    <cellStyle name="Normal 6 63" xfId="2177"/>
    <cellStyle name="Normal 6 7" xfId="2178"/>
    <cellStyle name="Normal 6 8" xfId="2179"/>
    <cellStyle name="Normal 6 9" xfId="2180"/>
    <cellStyle name="Normal 7" xfId="2181"/>
    <cellStyle name="Normal 7 4" xfId="2182"/>
    <cellStyle name="Normal 8" xfId="2183"/>
    <cellStyle name="Normal 8 10" xfId="2184"/>
    <cellStyle name="Normal 8 11" xfId="2185"/>
    <cellStyle name="Normal 8 12" xfId="2186"/>
    <cellStyle name="Normal 8 13" xfId="2187"/>
    <cellStyle name="Normal 8 14" xfId="2188"/>
    <cellStyle name="Normal 8 15" xfId="2189"/>
    <cellStyle name="Normal 8 16" xfId="2190"/>
    <cellStyle name="Normal 8 17" xfId="2191"/>
    <cellStyle name="Normal 8 18" xfId="2192"/>
    <cellStyle name="Normal 8 19" xfId="2193"/>
    <cellStyle name="Normal 8 2" xfId="2194"/>
    <cellStyle name="Normal 8 20" xfId="2195"/>
    <cellStyle name="Normal 8 21" xfId="2196"/>
    <cellStyle name="Normal 8 22" xfId="2197"/>
    <cellStyle name="Normal 8 23" xfId="2198"/>
    <cellStyle name="Normal 8 24" xfId="2199"/>
    <cellStyle name="Normal 8 25" xfId="2200"/>
    <cellStyle name="Normal 8 26" xfId="2201"/>
    <cellStyle name="Normal 8 27" xfId="2202"/>
    <cellStyle name="Normal 8 28" xfId="2203"/>
    <cellStyle name="Normal 8 29" xfId="2204"/>
    <cellStyle name="Normal 8 3" xfId="2205"/>
    <cellStyle name="Normal 8 3 10" xfId="2206"/>
    <cellStyle name="Normal 8 3 11" xfId="2207"/>
    <cellStyle name="Normal 8 3 12" xfId="2208"/>
    <cellStyle name="Normal 8 3 13" xfId="2209"/>
    <cellStyle name="Normal 8 3 14" xfId="2210"/>
    <cellStyle name="Normal 8 3 15" xfId="2211"/>
    <cellStyle name="Normal 8 3 16" xfId="2212"/>
    <cellStyle name="Normal 8 3 17" xfId="2213"/>
    <cellStyle name="Normal 8 3 18" xfId="2214"/>
    <cellStyle name="Normal 8 3 19" xfId="2215"/>
    <cellStyle name="Normal 8 3 2" xfId="2216"/>
    <cellStyle name="Normal 8 3 20" xfId="2217"/>
    <cellStyle name="Normal 8 3 21" xfId="2218"/>
    <cellStyle name="Normal 8 3 22" xfId="2219"/>
    <cellStyle name="Normal 8 3 23" xfId="2220"/>
    <cellStyle name="Normal 8 3 24" xfId="2221"/>
    <cellStyle name="Normal 8 3 25" xfId="2222"/>
    <cellStyle name="Normal 8 3 26" xfId="2223"/>
    <cellStyle name="Normal 8 3 3" xfId="2224"/>
    <cellStyle name="Normal 8 3 4" xfId="2225"/>
    <cellStyle name="Normal 8 3 5" xfId="2226"/>
    <cellStyle name="Normal 8 3 6" xfId="2227"/>
    <cellStyle name="Normal 8 3 7" xfId="2228"/>
    <cellStyle name="Normal 8 3 8" xfId="2229"/>
    <cellStyle name="Normal 8 3 9" xfId="2230"/>
    <cellStyle name="Normal 8 30" xfId="2231"/>
    <cellStyle name="Normal 8 31" xfId="2232"/>
    <cellStyle name="Normal 8 32" xfId="2233"/>
    <cellStyle name="Normal 8 33" xfId="2234"/>
    <cellStyle name="Normal 8 34" xfId="2235"/>
    <cellStyle name="Normal 8 35" xfId="2236"/>
    <cellStyle name="Normal 8 36" xfId="2237"/>
    <cellStyle name="Normal 8 37" xfId="2238"/>
    <cellStyle name="Normal 8 38" xfId="2239"/>
    <cellStyle name="Normal 8 39" xfId="2240"/>
    <cellStyle name="Normal 8 4" xfId="2241"/>
    <cellStyle name="Normal 8 40" xfId="2242"/>
    <cellStyle name="Normal 8 41" xfId="2243"/>
    <cellStyle name="Normal 8 42" xfId="2244"/>
    <cellStyle name="Normal 8 43" xfId="2245"/>
    <cellStyle name="Normal 8 44" xfId="2246"/>
    <cellStyle name="Normal 8 45" xfId="2247"/>
    <cellStyle name="Normal 8 46" xfId="2248"/>
    <cellStyle name="Normal 8 47" xfId="2249"/>
    <cellStyle name="Normal 8 48" xfId="2250"/>
    <cellStyle name="Normal 8 49" xfId="2251"/>
    <cellStyle name="Normal 8 5" xfId="2252"/>
    <cellStyle name="Normal 8 5 10" xfId="2253"/>
    <cellStyle name="Normal 8 5 11" xfId="2254"/>
    <cellStyle name="Normal 8 5 12" xfId="2255"/>
    <cellStyle name="Normal 8 5 13" xfId="2256"/>
    <cellStyle name="Normal 8 5 14" xfId="2257"/>
    <cellStyle name="Normal 8 5 15" xfId="2258"/>
    <cellStyle name="Normal 8 5 16" xfId="2259"/>
    <cellStyle name="Normal 8 5 17" xfId="2260"/>
    <cellStyle name="Normal 8 5 18" xfId="2261"/>
    <cellStyle name="Normal 8 5 19" xfId="2262"/>
    <cellStyle name="Normal 8 5 2" xfId="2263"/>
    <cellStyle name="Normal 8 5 20" xfId="2264"/>
    <cellStyle name="Normal 8 5 21" xfId="2265"/>
    <cellStyle name="Normal 8 5 22" xfId="2266"/>
    <cellStyle name="Normal 8 5 23" xfId="2267"/>
    <cellStyle name="Normal 8 5 24" xfId="2268"/>
    <cellStyle name="Normal 8 5 25" xfId="2269"/>
    <cellStyle name="Normal 8 5 26" xfId="2270"/>
    <cellStyle name="Normal 8 5 27" xfId="2271"/>
    <cellStyle name="Normal 8 5 28" xfId="2272"/>
    <cellStyle name="Normal 8 5 29" xfId="2273"/>
    <cellStyle name="Normal 8 5 3" xfId="2274"/>
    <cellStyle name="Normal 8 5 30" xfId="2275"/>
    <cellStyle name="Normal 8 5 31" xfId="2276"/>
    <cellStyle name="Normal 8 5 32" xfId="2277"/>
    <cellStyle name="Normal 8 5 33" xfId="2278"/>
    <cellStyle name="Normal 8 5 34" xfId="2279"/>
    <cellStyle name="Normal 8 5 35" xfId="2280"/>
    <cellStyle name="Normal 8 5 36" xfId="2281"/>
    <cellStyle name="Normal 8 5 37" xfId="2282"/>
    <cellStyle name="Normal 8 5 38" xfId="2283"/>
    <cellStyle name="Normal 8 5 39" xfId="2284"/>
    <cellStyle name="Normal 8 5 4" xfId="2285"/>
    <cellStyle name="Normal 8 5 40" xfId="2286"/>
    <cellStyle name="Normal 8 5 41" xfId="2287"/>
    <cellStyle name="Normal 8 5 42" xfId="2288"/>
    <cellStyle name="Normal 8 5 43" xfId="2289"/>
    <cellStyle name="Normal 8 5 44" xfId="2290"/>
    <cellStyle name="Normal 8 5 45" xfId="2291"/>
    <cellStyle name="Normal 8 5 46" xfId="2292"/>
    <cellStyle name="Normal 8 5 47" xfId="2293"/>
    <cellStyle name="Normal 8 5 48" xfId="2294"/>
    <cellStyle name="Normal 8 5 49" xfId="2295"/>
    <cellStyle name="Normal 8 5 5" xfId="2296"/>
    <cellStyle name="Normal 8 5 50" xfId="2297"/>
    <cellStyle name="Normal 8 5 51" xfId="2298"/>
    <cellStyle name="Normal 8 5 52" xfId="2299"/>
    <cellStyle name="Normal 8 5 53" xfId="2300"/>
    <cellStyle name="Normal 8 5 54" xfId="2301"/>
    <cellStyle name="Normal 8 5 55" xfId="2302"/>
    <cellStyle name="Normal 8 5 56" xfId="2303"/>
    <cellStyle name="Normal 8 5 57" xfId="2304"/>
    <cellStyle name="Normal 8 5 58" xfId="2305"/>
    <cellStyle name="Normal 8 5 59" xfId="2306"/>
    <cellStyle name="Normal 8 5 6" xfId="2307"/>
    <cellStyle name="Normal 8 5 60" xfId="2308"/>
    <cellStyle name="Normal 8 5 61" xfId="2309"/>
    <cellStyle name="Normal 8 5 62" xfId="2310"/>
    <cellStyle name="Normal 8 5 63" xfId="2311"/>
    <cellStyle name="Normal 8 5 64" xfId="2312"/>
    <cellStyle name="Normal 8 5 65" xfId="2313"/>
    <cellStyle name="Normal 8 5 66" xfId="2314"/>
    <cellStyle name="Normal 8 5 67" xfId="2315"/>
    <cellStyle name="Normal 8 5 68" xfId="2316"/>
    <cellStyle name="Normal 8 5 69" xfId="2317"/>
    <cellStyle name="Normal 8 5 7" xfId="2318"/>
    <cellStyle name="Normal 8 5 70" xfId="2319"/>
    <cellStyle name="Normal 8 5 71" xfId="2320"/>
    <cellStyle name="Normal 8 5 8" xfId="2321"/>
    <cellStyle name="Normal 8 5 9" xfId="2322"/>
    <cellStyle name="Normal 8 50" xfId="2323"/>
    <cellStyle name="Normal 8 51" xfId="2324"/>
    <cellStyle name="Normal 8 52" xfId="2325"/>
    <cellStyle name="Normal 8 53" xfId="2326"/>
    <cellStyle name="Normal 8 54" xfId="2327"/>
    <cellStyle name="Normal 8 55" xfId="2328"/>
    <cellStyle name="Normal 8 56" xfId="2329"/>
    <cellStyle name="Normal 8 57" xfId="2330"/>
    <cellStyle name="Normal 8 58" xfId="2331"/>
    <cellStyle name="Normal 8 59" xfId="2332"/>
    <cellStyle name="Normal 8 6" xfId="2333"/>
    <cellStyle name="Normal 8 60" xfId="2334"/>
    <cellStyle name="Normal 8 60 2" xfId="2335"/>
    <cellStyle name="Normal 8 60 3" xfId="2336"/>
    <cellStyle name="Normal 8 60 3 2" xfId="2337"/>
    <cellStyle name="Normal 8 61" xfId="2338"/>
    <cellStyle name="Normal 8 62" xfId="2339"/>
    <cellStyle name="Normal 8 63" xfId="2340"/>
    <cellStyle name="Normal 8 64" xfId="2341"/>
    <cellStyle name="Normal 8 65" xfId="2342"/>
    <cellStyle name="Normal 8 66" xfId="2343"/>
    <cellStyle name="Normal 8 67" xfId="2344"/>
    <cellStyle name="Normal 8 68" xfId="2345"/>
    <cellStyle name="Normal 8 69" xfId="2346"/>
    <cellStyle name="Normal 8 7" xfId="2347"/>
    <cellStyle name="Normal 8 70" xfId="2348"/>
    <cellStyle name="Normal 8 71" xfId="2349"/>
    <cellStyle name="Normal 8 72" xfId="2350"/>
    <cellStyle name="Normal 8 73" xfId="2351"/>
    <cellStyle name="Normal 8 74" xfId="2352"/>
    <cellStyle name="Normal 8 8" xfId="2353"/>
    <cellStyle name="Normal 8 9" xfId="2354"/>
    <cellStyle name="Normal 9" xfId="2355"/>
    <cellStyle name="Note" xfId="14" builtinId="10" customBuiltin="1"/>
    <cellStyle name="Output" xfId="9" builtinId="21" customBuiltin="1"/>
    <cellStyle name="Output Line Items" xfId="2812"/>
    <cellStyle name="Percent" xfId="2799" builtinId="5"/>
    <cellStyle name="Percent [2]" xfId="2813"/>
    <cellStyle name="Percent 10" xfId="2356"/>
    <cellStyle name="Percent 2" xfId="2357"/>
    <cellStyle name="Percent 2 2" xfId="2358"/>
    <cellStyle name="Percent 2 2 2" xfId="2359"/>
    <cellStyle name="Percent 2 3" xfId="2360"/>
    <cellStyle name="Percent 2 4" xfId="2361"/>
    <cellStyle name="Percent 2 60" xfId="2362"/>
    <cellStyle name="Percent 3" xfId="2363"/>
    <cellStyle name="Percent 3 10" xfId="2364"/>
    <cellStyle name="Percent 3 11" xfId="2365"/>
    <cellStyle name="Percent 3 12" xfId="2366"/>
    <cellStyle name="Percent 3 13" xfId="2367"/>
    <cellStyle name="Percent 3 14" xfId="2368"/>
    <cellStyle name="Percent 3 15" xfId="2369"/>
    <cellStyle name="Percent 3 16" xfId="2370"/>
    <cellStyle name="Percent 3 17" xfId="2371"/>
    <cellStyle name="Percent 3 18" xfId="2372"/>
    <cellStyle name="Percent 3 19" xfId="2373"/>
    <cellStyle name="Percent 3 2" xfId="2374"/>
    <cellStyle name="Percent 3 20" xfId="2375"/>
    <cellStyle name="Percent 3 21" xfId="2376"/>
    <cellStyle name="Percent 3 22" xfId="2377"/>
    <cellStyle name="Percent 3 23" xfId="2378"/>
    <cellStyle name="Percent 3 24" xfId="2379"/>
    <cellStyle name="Percent 3 25" xfId="2380"/>
    <cellStyle name="Percent 3 26" xfId="2381"/>
    <cellStyle name="Percent 3 27" xfId="2382"/>
    <cellStyle name="Percent 3 28" xfId="2383"/>
    <cellStyle name="Percent 3 29" xfId="2384"/>
    <cellStyle name="Percent 3 3" xfId="2385"/>
    <cellStyle name="Percent 3 30" xfId="2386"/>
    <cellStyle name="Percent 3 31" xfId="2387"/>
    <cellStyle name="Percent 3 32" xfId="2388"/>
    <cellStyle name="Percent 3 33" xfId="2389"/>
    <cellStyle name="Percent 3 34" xfId="2390"/>
    <cellStyle name="Percent 3 35" xfId="2391"/>
    <cellStyle name="Percent 3 36" xfId="2392"/>
    <cellStyle name="Percent 3 37" xfId="2393"/>
    <cellStyle name="Percent 3 38" xfId="2394"/>
    <cellStyle name="Percent 3 39" xfId="2395"/>
    <cellStyle name="Percent 3 4" xfId="2396"/>
    <cellStyle name="Percent 3 40" xfId="2397"/>
    <cellStyle name="Percent 3 41" xfId="2398"/>
    <cellStyle name="Percent 3 42" xfId="2399"/>
    <cellStyle name="Percent 3 43" xfId="2400"/>
    <cellStyle name="Percent 3 44" xfId="2401"/>
    <cellStyle name="Percent 3 45" xfId="2402"/>
    <cellStyle name="Percent 3 46" xfId="2403"/>
    <cellStyle name="Percent 3 47" xfId="2404"/>
    <cellStyle name="Percent 3 48" xfId="2405"/>
    <cellStyle name="Percent 3 49" xfId="2406"/>
    <cellStyle name="Percent 3 5" xfId="2407"/>
    <cellStyle name="Percent 3 50" xfId="2408"/>
    <cellStyle name="Percent 3 51" xfId="2409"/>
    <cellStyle name="Percent 3 52" xfId="2410"/>
    <cellStyle name="Percent 3 53" xfId="2411"/>
    <cellStyle name="Percent 3 54" xfId="2412"/>
    <cellStyle name="Percent 3 55" xfId="2413"/>
    <cellStyle name="Percent 3 56" xfId="2414"/>
    <cellStyle name="Percent 3 57" xfId="2415"/>
    <cellStyle name="Percent 3 58" xfId="2416"/>
    <cellStyle name="Percent 3 59" xfId="2417"/>
    <cellStyle name="Percent 3 6" xfId="2418"/>
    <cellStyle name="Percent 3 60" xfId="2419"/>
    <cellStyle name="Percent 3 61" xfId="2420"/>
    <cellStyle name="Percent 3 62" xfId="2421"/>
    <cellStyle name="Percent 3 63" xfId="2422"/>
    <cellStyle name="Percent 3 7" xfId="2423"/>
    <cellStyle name="Percent 3 8" xfId="2424"/>
    <cellStyle name="Percent 3 9" xfId="2425"/>
    <cellStyle name="Percent 4" xfId="2426"/>
    <cellStyle name="Percent 4 10" xfId="2427"/>
    <cellStyle name="Percent 4 11" xfId="2428"/>
    <cellStyle name="Percent 4 12" xfId="2429"/>
    <cellStyle name="Percent 4 13" xfId="2430"/>
    <cellStyle name="Percent 4 14" xfId="2431"/>
    <cellStyle name="Percent 4 15" xfId="2432"/>
    <cellStyle name="Percent 4 16" xfId="2433"/>
    <cellStyle name="Percent 4 17" xfId="2434"/>
    <cellStyle name="Percent 4 18" xfId="2435"/>
    <cellStyle name="Percent 4 19" xfId="2436"/>
    <cellStyle name="Percent 4 2" xfId="2437"/>
    <cellStyle name="Percent 4 20" xfId="2438"/>
    <cellStyle name="Percent 4 21" xfId="2439"/>
    <cellStyle name="Percent 4 22" xfId="2440"/>
    <cellStyle name="Percent 4 23" xfId="2441"/>
    <cellStyle name="Percent 4 24" xfId="2442"/>
    <cellStyle name="Percent 4 25" xfId="2443"/>
    <cellStyle name="Percent 4 26" xfId="2444"/>
    <cellStyle name="Percent 4 27" xfId="2445"/>
    <cellStyle name="Percent 4 28" xfId="2446"/>
    <cellStyle name="Percent 4 29" xfId="2447"/>
    <cellStyle name="Percent 4 3" xfId="2448"/>
    <cellStyle name="Percent 4 30" xfId="2449"/>
    <cellStyle name="Percent 4 31" xfId="2450"/>
    <cellStyle name="Percent 4 32" xfId="2451"/>
    <cellStyle name="Percent 4 33" xfId="2452"/>
    <cellStyle name="Percent 4 34" xfId="2453"/>
    <cellStyle name="Percent 4 35" xfId="2454"/>
    <cellStyle name="Percent 4 36" xfId="2455"/>
    <cellStyle name="Percent 4 37" xfId="2456"/>
    <cellStyle name="Percent 4 38" xfId="2457"/>
    <cellStyle name="Percent 4 39" xfId="2458"/>
    <cellStyle name="Percent 4 4" xfId="2459"/>
    <cellStyle name="Percent 4 40" xfId="2460"/>
    <cellStyle name="Percent 4 41" xfId="2461"/>
    <cellStyle name="Percent 4 42" xfId="2462"/>
    <cellStyle name="Percent 4 43" xfId="2463"/>
    <cellStyle name="Percent 4 44" xfId="2464"/>
    <cellStyle name="Percent 4 45" xfId="2465"/>
    <cellStyle name="Percent 4 46" xfId="2466"/>
    <cellStyle name="Percent 4 47" xfId="2467"/>
    <cellStyle name="Percent 4 48" xfId="2468"/>
    <cellStyle name="Percent 4 49" xfId="2469"/>
    <cellStyle name="Percent 4 5" xfId="2470"/>
    <cellStyle name="Percent 4 50" xfId="2471"/>
    <cellStyle name="Percent 4 51" xfId="2472"/>
    <cellStyle name="Percent 4 52" xfId="2473"/>
    <cellStyle name="Percent 4 53" xfId="2474"/>
    <cellStyle name="Percent 4 54" xfId="2475"/>
    <cellStyle name="Percent 4 55" xfId="2476"/>
    <cellStyle name="Percent 4 56" xfId="2477"/>
    <cellStyle name="Percent 4 57" xfId="2478"/>
    <cellStyle name="Percent 4 58" xfId="2479"/>
    <cellStyle name="Percent 4 59" xfId="2480"/>
    <cellStyle name="Percent 4 6" xfId="2481"/>
    <cellStyle name="Percent 4 60" xfId="2482"/>
    <cellStyle name="Percent 4 61" xfId="2483"/>
    <cellStyle name="Percent 4 62" xfId="2484"/>
    <cellStyle name="Percent 4 63" xfId="2485"/>
    <cellStyle name="Percent 4 7" xfId="2486"/>
    <cellStyle name="Percent 4 8" xfId="2487"/>
    <cellStyle name="Percent 4 9" xfId="2488"/>
    <cellStyle name="Percent 5" xfId="2489"/>
    <cellStyle name="Percent 5 10" xfId="2490"/>
    <cellStyle name="Percent 5 11" xfId="2491"/>
    <cellStyle name="Percent 5 12" xfId="2492"/>
    <cellStyle name="Percent 5 13" xfId="2493"/>
    <cellStyle name="Percent 5 14" xfId="2494"/>
    <cellStyle name="Percent 5 15" xfId="2495"/>
    <cellStyle name="Percent 5 16" xfId="2496"/>
    <cellStyle name="Percent 5 17" xfId="2497"/>
    <cellStyle name="Percent 5 18" xfId="2498"/>
    <cellStyle name="Percent 5 19" xfId="2499"/>
    <cellStyle name="Percent 5 2" xfId="2500"/>
    <cellStyle name="Percent 5 20" xfId="2501"/>
    <cellStyle name="Percent 5 21" xfId="2502"/>
    <cellStyle name="Percent 5 22" xfId="2503"/>
    <cellStyle name="Percent 5 23" xfId="2504"/>
    <cellStyle name="Percent 5 24" xfId="2505"/>
    <cellStyle name="Percent 5 25" xfId="2506"/>
    <cellStyle name="Percent 5 26" xfId="2507"/>
    <cellStyle name="Percent 5 27" xfId="2508"/>
    <cellStyle name="Percent 5 28" xfId="2509"/>
    <cellStyle name="Percent 5 29" xfId="2510"/>
    <cellStyle name="Percent 5 3" xfId="2511"/>
    <cellStyle name="Percent 5 30" xfId="2512"/>
    <cellStyle name="Percent 5 31" xfId="2513"/>
    <cellStyle name="Percent 5 32" xfId="2514"/>
    <cellStyle name="Percent 5 33" xfId="2515"/>
    <cellStyle name="Percent 5 34" xfId="2516"/>
    <cellStyle name="Percent 5 35" xfId="2517"/>
    <cellStyle name="Percent 5 36" xfId="2518"/>
    <cellStyle name="Percent 5 37" xfId="2519"/>
    <cellStyle name="Percent 5 38" xfId="2520"/>
    <cellStyle name="Percent 5 39" xfId="2521"/>
    <cellStyle name="Percent 5 4" xfId="2522"/>
    <cellStyle name="Percent 5 40" xfId="2523"/>
    <cellStyle name="Percent 5 41" xfId="2524"/>
    <cellStyle name="Percent 5 42" xfId="2525"/>
    <cellStyle name="Percent 5 43" xfId="2526"/>
    <cellStyle name="Percent 5 44" xfId="2527"/>
    <cellStyle name="Percent 5 45" xfId="2528"/>
    <cellStyle name="Percent 5 46" xfId="2529"/>
    <cellStyle name="Percent 5 47" xfId="2530"/>
    <cellStyle name="Percent 5 48" xfId="2531"/>
    <cellStyle name="Percent 5 49" xfId="2532"/>
    <cellStyle name="Percent 5 5" xfId="2533"/>
    <cellStyle name="Percent 5 50" xfId="2534"/>
    <cellStyle name="Percent 5 51" xfId="2535"/>
    <cellStyle name="Percent 5 52" xfId="2536"/>
    <cellStyle name="Percent 5 53" xfId="2537"/>
    <cellStyle name="Percent 5 54" xfId="2538"/>
    <cellStyle name="Percent 5 55" xfId="2539"/>
    <cellStyle name="Percent 5 56" xfId="2540"/>
    <cellStyle name="Percent 5 57" xfId="2541"/>
    <cellStyle name="Percent 5 58" xfId="2542"/>
    <cellStyle name="Percent 5 59" xfId="2543"/>
    <cellStyle name="Percent 5 6" xfId="2544"/>
    <cellStyle name="Percent 5 60" xfId="2545"/>
    <cellStyle name="Percent 5 61" xfId="2546"/>
    <cellStyle name="Percent 5 62" xfId="2547"/>
    <cellStyle name="Percent 5 63" xfId="2548"/>
    <cellStyle name="Percent 5 64" xfId="2549"/>
    <cellStyle name="Percent 5 65" xfId="2550"/>
    <cellStyle name="Percent 5 7" xfId="2551"/>
    <cellStyle name="Percent 5 8" xfId="2552"/>
    <cellStyle name="Percent 5 9" xfId="2553"/>
    <cellStyle name="Percent 6" xfId="2554"/>
    <cellStyle name="Percent 6 10" xfId="2555"/>
    <cellStyle name="Percent 6 11" xfId="2556"/>
    <cellStyle name="Percent 6 12" xfId="2557"/>
    <cellStyle name="Percent 6 13" xfId="2558"/>
    <cellStyle name="Percent 6 14" xfId="2559"/>
    <cellStyle name="Percent 6 15" xfId="2560"/>
    <cellStyle name="Percent 6 16" xfId="2561"/>
    <cellStyle name="Percent 6 17" xfId="2562"/>
    <cellStyle name="Percent 6 18" xfId="2563"/>
    <cellStyle name="Percent 6 19" xfId="2564"/>
    <cellStyle name="Percent 6 2" xfId="2565"/>
    <cellStyle name="Percent 6 20" xfId="2566"/>
    <cellStyle name="Percent 6 21" xfId="2567"/>
    <cellStyle name="Percent 6 22" xfId="2568"/>
    <cellStyle name="Percent 6 23" xfId="2569"/>
    <cellStyle name="Percent 6 24" xfId="2570"/>
    <cellStyle name="Percent 6 25" xfId="2571"/>
    <cellStyle name="Percent 6 26" xfId="2572"/>
    <cellStyle name="Percent 6 27" xfId="2573"/>
    <cellStyle name="Percent 6 28" xfId="2574"/>
    <cellStyle name="Percent 6 29" xfId="2575"/>
    <cellStyle name="Percent 6 3" xfId="2576"/>
    <cellStyle name="Percent 6 30" xfId="2577"/>
    <cellStyle name="Percent 6 31" xfId="2578"/>
    <cellStyle name="Percent 6 32" xfId="2579"/>
    <cellStyle name="Percent 6 33" xfId="2580"/>
    <cellStyle name="Percent 6 34" xfId="2581"/>
    <cellStyle name="Percent 6 35" xfId="2582"/>
    <cellStyle name="Percent 6 36" xfId="2583"/>
    <cellStyle name="Percent 6 37" xfId="2584"/>
    <cellStyle name="Percent 6 38" xfId="2585"/>
    <cellStyle name="Percent 6 39" xfId="2586"/>
    <cellStyle name="Percent 6 4" xfId="2587"/>
    <cellStyle name="Percent 6 40" xfId="2588"/>
    <cellStyle name="Percent 6 41" xfId="2589"/>
    <cellStyle name="Percent 6 42" xfId="2590"/>
    <cellStyle name="Percent 6 43" xfId="2591"/>
    <cellStyle name="Percent 6 44" xfId="2592"/>
    <cellStyle name="Percent 6 45" xfId="2593"/>
    <cellStyle name="Percent 6 46" xfId="2594"/>
    <cellStyle name="Percent 6 47" xfId="2595"/>
    <cellStyle name="Percent 6 48" xfId="2596"/>
    <cellStyle name="Percent 6 49" xfId="2597"/>
    <cellStyle name="Percent 6 5" xfId="2598"/>
    <cellStyle name="Percent 6 50" xfId="2599"/>
    <cellStyle name="Percent 6 51" xfId="2600"/>
    <cellStyle name="Percent 6 52" xfId="2601"/>
    <cellStyle name="Percent 6 53" xfId="2602"/>
    <cellStyle name="Percent 6 54" xfId="2603"/>
    <cellStyle name="Percent 6 55" xfId="2604"/>
    <cellStyle name="Percent 6 56" xfId="2605"/>
    <cellStyle name="Percent 6 57" xfId="2606"/>
    <cellStyle name="Percent 6 58" xfId="2607"/>
    <cellStyle name="Percent 6 59" xfId="2608"/>
    <cellStyle name="Percent 6 6" xfId="2609"/>
    <cellStyle name="Percent 6 60" xfId="2610"/>
    <cellStyle name="Percent 6 61" xfId="2611"/>
    <cellStyle name="Percent 6 62" xfId="2612"/>
    <cellStyle name="Percent 6 63" xfId="2613"/>
    <cellStyle name="Percent 6 7" xfId="2614"/>
    <cellStyle name="Percent 6 8" xfId="2615"/>
    <cellStyle name="Percent 6 9" xfId="2616"/>
    <cellStyle name="Percent 7" xfId="2617"/>
    <cellStyle name="Percent 7 10" xfId="2618"/>
    <cellStyle name="Percent 7 11" xfId="2619"/>
    <cellStyle name="Percent 7 12" xfId="2620"/>
    <cellStyle name="Percent 7 13" xfId="2621"/>
    <cellStyle name="Percent 7 14" xfId="2622"/>
    <cellStyle name="Percent 7 15" xfId="2623"/>
    <cellStyle name="Percent 7 16" xfId="2624"/>
    <cellStyle name="Percent 7 17" xfId="2625"/>
    <cellStyle name="Percent 7 18" xfId="2626"/>
    <cellStyle name="Percent 7 19" xfId="2627"/>
    <cellStyle name="Percent 7 2" xfId="2628"/>
    <cellStyle name="Percent 7 20" xfId="2629"/>
    <cellStyle name="Percent 7 21" xfId="2630"/>
    <cellStyle name="Percent 7 22" xfId="2631"/>
    <cellStyle name="Percent 7 23" xfId="2632"/>
    <cellStyle name="Percent 7 24" xfId="2633"/>
    <cellStyle name="Percent 7 25" xfId="2634"/>
    <cellStyle name="Percent 7 26" xfId="2635"/>
    <cellStyle name="Percent 7 27" xfId="2636"/>
    <cellStyle name="Percent 7 28" xfId="2637"/>
    <cellStyle name="Percent 7 29" xfId="2638"/>
    <cellStyle name="Percent 7 3" xfId="2639"/>
    <cellStyle name="Percent 7 3 10" xfId="2640"/>
    <cellStyle name="Percent 7 3 11" xfId="2641"/>
    <cellStyle name="Percent 7 3 12" xfId="2642"/>
    <cellStyle name="Percent 7 3 13" xfId="2643"/>
    <cellStyle name="Percent 7 3 14" xfId="2644"/>
    <cellStyle name="Percent 7 3 15" xfId="2645"/>
    <cellStyle name="Percent 7 3 16" xfId="2646"/>
    <cellStyle name="Percent 7 3 17" xfId="2647"/>
    <cellStyle name="Percent 7 3 18" xfId="2648"/>
    <cellStyle name="Percent 7 3 19" xfId="2649"/>
    <cellStyle name="Percent 7 3 2" xfId="2650"/>
    <cellStyle name="Percent 7 3 20" xfId="2651"/>
    <cellStyle name="Percent 7 3 21" xfId="2652"/>
    <cellStyle name="Percent 7 3 22" xfId="2653"/>
    <cellStyle name="Percent 7 3 23" xfId="2654"/>
    <cellStyle name="Percent 7 3 24" xfId="2655"/>
    <cellStyle name="Percent 7 3 25" xfId="2656"/>
    <cellStyle name="Percent 7 3 26" xfId="2657"/>
    <cellStyle name="Percent 7 3 3" xfId="2658"/>
    <cellStyle name="Percent 7 3 4" xfId="2659"/>
    <cellStyle name="Percent 7 3 5" xfId="2660"/>
    <cellStyle name="Percent 7 3 6" xfId="2661"/>
    <cellStyle name="Percent 7 3 7" xfId="2662"/>
    <cellStyle name="Percent 7 3 8" xfId="2663"/>
    <cellStyle name="Percent 7 3 9" xfId="2664"/>
    <cellStyle name="Percent 7 30" xfId="2665"/>
    <cellStyle name="Percent 7 31" xfId="2666"/>
    <cellStyle name="Percent 7 32" xfId="2667"/>
    <cellStyle name="Percent 7 33" xfId="2668"/>
    <cellStyle name="Percent 7 34" xfId="2669"/>
    <cellStyle name="Percent 7 35" xfId="2670"/>
    <cellStyle name="Percent 7 36" xfId="2671"/>
    <cellStyle name="Percent 7 37" xfId="2672"/>
    <cellStyle name="Percent 7 38" xfId="2673"/>
    <cellStyle name="Percent 7 39" xfId="2674"/>
    <cellStyle name="Percent 7 4" xfId="2675"/>
    <cellStyle name="Percent 7 40" xfId="2676"/>
    <cellStyle name="Percent 7 41" xfId="2677"/>
    <cellStyle name="Percent 7 42" xfId="2678"/>
    <cellStyle name="Percent 7 43" xfId="2679"/>
    <cellStyle name="Percent 7 44" xfId="2680"/>
    <cellStyle name="Percent 7 45" xfId="2681"/>
    <cellStyle name="Percent 7 46" xfId="2682"/>
    <cellStyle name="Percent 7 47" xfId="2683"/>
    <cellStyle name="Percent 7 48" xfId="2684"/>
    <cellStyle name="Percent 7 49" xfId="2685"/>
    <cellStyle name="Percent 7 5" xfId="2686"/>
    <cellStyle name="Percent 7 5 10" xfId="2687"/>
    <cellStyle name="Percent 7 5 11" xfId="2688"/>
    <cellStyle name="Percent 7 5 12" xfId="2689"/>
    <cellStyle name="Percent 7 5 13" xfId="2690"/>
    <cellStyle name="Percent 7 5 14" xfId="2691"/>
    <cellStyle name="Percent 7 5 15" xfId="2692"/>
    <cellStyle name="Percent 7 5 16" xfId="2693"/>
    <cellStyle name="Percent 7 5 17" xfId="2694"/>
    <cellStyle name="Percent 7 5 18" xfId="2695"/>
    <cellStyle name="Percent 7 5 19" xfId="2696"/>
    <cellStyle name="Percent 7 5 2" xfId="2697"/>
    <cellStyle name="Percent 7 5 20" xfId="2698"/>
    <cellStyle name="Percent 7 5 21" xfId="2699"/>
    <cellStyle name="Percent 7 5 22" xfId="2700"/>
    <cellStyle name="Percent 7 5 23" xfId="2701"/>
    <cellStyle name="Percent 7 5 24" xfId="2702"/>
    <cellStyle name="Percent 7 5 25" xfId="2703"/>
    <cellStyle name="Percent 7 5 26" xfId="2704"/>
    <cellStyle name="Percent 7 5 27" xfId="2705"/>
    <cellStyle name="Percent 7 5 28" xfId="2706"/>
    <cellStyle name="Percent 7 5 29" xfId="2707"/>
    <cellStyle name="Percent 7 5 3" xfId="2708"/>
    <cellStyle name="Percent 7 5 30" xfId="2709"/>
    <cellStyle name="Percent 7 5 31" xfId="2710"/>
    <cellStyle name="Percent 7 5 32" xfId="2711"/>
    <cellStyle name="Percent 7 5 33" xfId="2712"/>
    <cellStyle name="Percent 7 5 34" xfId="2713"/>
    <cellStyle name="Percent 7 5 35" xfId="2714"/>
    <cellStyle name="Percent 7 5 36" xfId="2715"/>
    <cellStyle name="Percent 7 5 37" xfId="2716"/>
    <cellStyle name="Percent 7 5 38" xfId="2717"/>
    <cellStyle name="Percent 7 5 39" xfId="2718"/>
    <cellStyle name="Percent 7 5 4" xfId="2719"/>
    <cellStyle name="Percent 7 5 40" xfId="2720"/>
    <cellStyle name="Percent 7 5 41" xfId="2721"/>
    <cellStyle name="Percent 7 5 42" xfId="2722"/>
    <cellStyle name="Percent 7 5 43" xfId="2723"/>
    <cellStyle name="Percent 7 5 44" xfId="2724"/>
    <cellStyle name="Percent 7 5 45" xfId="2725"/>
    <cellStyle name="Percent 7 5 46" xfId="2726"/>
    <cellStyle name="Percent 7 5 47" xfId="2727"/>
    <cellStyle name="Percent 7 5 48" xfId="2728"/>
    <cellStyle name="Percent 7 5 49" xfId="2729"/>
    <cellStyle name="Percent 7 5 5" xfId="2730"/>
    <cellStyle name="Percent 7 5 50" xfId="2731"/>
    <cellStyle name="Percent 7 5 51" xfId="2732"/>
    <cellStyle name="Percent 7 5 52" xfId="2733"/>
    <cellStyle name="Percent 7 5 53" xfId="2734"/>
    <cellStyle name="Percent 7 5 54" xfId="2735"/>
    <cellStyle name="Percent 7 5 55" xfId="2736"/>
    <cellStyle name="Percent 7 5 56" xfId="2737"/>
    <cellStyle name="Percent 7 5 57" xfId="2738"/>
    <cellStyle name="Percent 7 5 58" xfId="2739"/>
    <cellStyle name="Percent 7 5 59" xfId="2740"/>
    <cellStyle name="Percent 7 5 6" xfId="2741"/>
    <cellStyle name="Percent 7 5 60" xfId="2742"/>
    <cellStyle name="Percent 7 5 61" xfId="2743"/>
    <cellStyle name="Percent 7 5 62" xfId="2744"/>
    <cellStyle name="Percent 7 5 63" xfId="2745"/>
    <cellStyle name="Percent 7 5 64" xfId="2746"/>
    <cellStyle name="Percent 7 5 65" xfId="2747"/>
    <cellStyle name="Percent 7 5 66" xfId="2748"/>
    <cellStyle name="Percent 7 5 67" xfId="2749"/>
    <cellStyle name="Percent 7 5 68" xfId="2750"/>
    <cellStyle name="Percent 7 5 69" xfId="2751"/>
    <cellStyle name="Percent 7 5 7" xfId="2752"/>
    <cellStyle name="Percent 7 5 70" xfId="2753"/>
    <cellStyle name="Percent 7 5 71" xfId="2754"/>
    <cellStyle name="Percent 7 5 8" xfId="2755"/>
    <cellStyle name="Percent 7 5 9" xfId="2756"/>
    <cellStyle name="Percent 7 50" xfId="2757"/>
    <cellStyle name="Percent 7 51" xfId="2758"/>
    <cellStyle name="Percent 7 52" xfId="2759"/>
    <cellStyle name="Percent 7 53" xfId="2760"/>
    <cellStyle name="Percent 7 54" xfId="2761"/>
    <cellStyle name="Percent 7 55" xfId="2762"/>
    <cellStyle name="Percent 7 56" xfId="2763"/>
    <cellStyle name="Percent 7 57" xfId="2764"/>
    <cellStyle name="Percent 7 58" xfId="2765"/>
    <cellStyle name="Percent 7 59" xfId="2766"/>
    <cellStyle name="Percent 7 6" xfId="2767"/>
    <cellStyle name="Percent 7 60" xfId="2768"/>
    <cellStyle name="Percent 7 60 2" xfId="2769"/>
    <cellStyle name="Percent 7 60 3" xfId="2770"/>
    <cellStyle name="Percent 7 60 3 2" xfId="2771"/>
    <cellStyle name="Percent 7 61" xfId="2772"/>
    <cellStyle name="Percent 7 62" xfId="2773"/>
    <cellStyle name="Percent 7 63" xfId="2774"/>
    <cellStyle name="Percent 7 64" xfId="2775"/>
    <cellStyle name="Percent 7 65" xfId="2776"/>
    <cellStyle name="Percent 7 66" xfId="2777"/>
    <cellStyle name="Percent 7 67" xfId="2778"/>
    <cellStyle name="Percent 7 68" xfId="2779"/>
    <cellStyle name="Percent 7 69" xfId="2780"/>
    <cellStyle name="Percent 7 7" xfId="2781"/>
    <cellStyle name="Percent 7 70" xfId="2782"/>
    <cellStyle name="Percent 7 71" xfId="2783"/>
    <cellStyle name="Percent 7 72" xfId="2784"/>
    <cellStyle name="Percent 7 73" xfId="2785"/>
    <cellStyle name="Percent 7 74" xfId="2786"/>
    <cellStyle name="Percent 7 8" xfId="2787"/>
    <cellStyle name="Percent 7 9" xfId="2788"/>
    <cellStyle name="Percent 8" xfId="2789"/>
    <cellStyle name="Rule (bottom)" xfId="2790"/>
    <cellStyle name="Rule (bottom) 3" xfId="2814"/>
    <cellStyle name="Rule (bottom) 3 2" xfId="2815"/>
    <cellStyle name="Rule (bottom, heavy)" xfId="2791"/>
    <cellStyle name="Shaded" xfId="2792"/>
    <cellStyle name="Shaded 2 2" xfId="2816"/>
    <cellStyle name="SPOl" xfId="2817"/>
    <cellStyle name="Style 1" xfId="2793"/>
    <cellStyle name="Style 2" xfId="2818"/>
    <cellStyle name="Style 3" xfId="2819"/>
    <cellStyle name="Style 4" xfId="2820"/>
    <cellStyle name="Style 5" xfId="2821"/>
    <cellStyle name="Style 6" xfId="2822"/>
    <cellStyle name="Text" xfId="2794"/>
    <cellStyle name="Title 2" xfId="2795"/>
    <cellStyle name="Title 3" xfId="41"/>
    <cellStyle name="Title 7" xfId="2823"/>
    <cellStyle name="Total" xfId="16" builtinId="25" customBuiltin="1"/>
    <cellStyle name="Warning Text" xfId="13" builtinId="11" customBuiltin="1"/>
    <cellStyle name="Year" xfId="27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Brattle">
  <a:themeElements>
    <a:clrScheme name="Brattle 2015">
      <a:dk1>
        <a:srgbClr val="000000"/>
      </a:dk1>
      <a:lt1>
        <a:srgbClr val="FFFFFF"/>
      </a:lt1>
      <a:dk2>
        <a:srgbClr val="FFFFFF"/>
      </a:dk2>
      <a:lt2>
        <a:srgbClr val="00467F"/>
      </a:lt2>
      <a:accent1>
        <a:srgbClr val="002B54"/>
      </a:accent1>
      <a:accent2>
        <a:srgbClr val="7FB9C2"/>
      </a:accent2>
      <a:accent3>
        <a:srgbClr val="6A7277"/>
      </a:accent3>
      <a:accent4>
        <a:srgbClr val="EF4623"/>
      </a:accent4>
      <a:accent5>
        <a:srgbClr val="00467F"/>
      </a:accent5>
      <a:accent6>
        <a:srgbClr val="CCCDC3"/>
      </a:accent6>
      <a:hlink>
        <a:srgbClr val="7FB9C2"/>
      </a:hlink>
      <a:folHlink>
        <a:srgbClr val="00467F"/>
      </a:folHlink>
    </a:clrScheme>
    <a:fontScheme name="Brattle 2015">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view="pageBreakPreview" zoomScaleNormal="100" zoomScaleSheetLayoutView="100" workbookViewId="0"/>
  </sheetViews>
  <sheetFormatPr defaultColWidth="8.81640625" defaultRowHeight="14.5" outlineLevelCol="1" x14ac:dyDescent="0.35"/>
  <cols>
    <col min="1" max="1" width="16.7265625" style="26" customWidth="1" outlineLevel="1"/>
    <col min="2" max="2" width="8.81640625" style="9"/>
    <col min="3" max="3" width="3.7265625" style="9" customWidth="1"/>
    <col min="4" max="4" width="25.453125" style="9" bestFit="1" customWidth="1"/>
    <col min="5" max="8" width="11.26953125" style="9" bestFit="1" customWidth="1"/>
    <col min="9" max="9" width="12.54296875" style="9" bestFit="1" customWidth="1"/>
    <col min="10" max="16384" width="8.81640625" style="9"/>
  </cols>
  <sheetData>
    <row r="1" spans="1:9" ht="15" x14ac:dyDescent="0.25">
      <c r="A1" s="26">
        <v>1000000</v>
      </c>
    </row>
    <row r="2" spans="1:9" ht="18.75" x14ac:dyDescent="0.3">
      <c r="C2" s="54" t="s">
        <v>67</v>
      </c>
      <c r="D2" s="43"/>
      <c r="E2" s="43"/>
      <c r="F2" s="43"/>
      <c r="G2" s="43"/>
      <c r="H2" s="43"/>
    </row>
    <row r="3" spans="1:9" ht="6" customHeight="1" thickBot="1" x14ac:dyDescent="0.3">
      <c r="C3" s="55"/>
      <c r="D3" s="1"/>
      <c r="E3" s="1"/>
      <c r="F3" s="1"/>
      <c r="G3" s="1"/>
      <c r="H3" s="1"/>
    </row>
    <row r="4" spans="1:9" ht="6" customHeight="1" thickTop="1" x14ac:dyDescent="0.25"/>
    <row r="5" spans="1:9" ht="15" customHeight="1" x14ac:dyDescent="0.25">
      <c r="A5" s="26">
        <v>1000</v>
      </c>
      <c r="B5" s="33"/>
      <c r="C5" s="4"/>
      <c r="D5" s="4"/>
      <c r="E5" s="53">
        <v>2014</v>
      </c>
      <c r="F5" s="53">
        <f>E5+1</f>
        <v>2015</v>
      </c>
      <c r="G5" s="53">
        <f>F5+1</f>
        <v>2016</v>
      </c>
      <c r="H5" s="53">
        <f>G5+1</f>
        <v>2017</v>
      </c>
    </row>
    <row r="6" spans="1:9" ht="6" customHeight="1" x14ac:dyDescent="0.25">
      <c r="E6" s="56"/>
      <c r="F6" s="56"/>
      <c r="G6" s="56"/>
      <c r="H6" s="56"/>
    </row>
    <row r="7" spans="1:9" ht="15" customHeight="1" x14ac:dyDescent="0.25">
      <c r="C7" s="44" t="s">
        <v>120</v>
      </c>
      <c r="D7" s="4"/>
      <c r="E7" s="57"/>
      <c r="F7" s="57"/>
      <c r="G7" s="57"/>
      <c r="H7" s="57"/>
    </row>
    <row r="8" spans="1:9" ht="15" customHeight="1" x14ac:dyDescent="0.25">
      <c r="A8" s="26" t="s">
        <v>68</v>
      </c>
      <c r="D8" s="9" t="s">
        <v>68</v>
      </c>
      <c r="E8" s="178">
        <f>INDEX(connections!21:21,0,MATCH('Table 7'!E5,connections!1:1,0))/$A$1</f>
        <v>237.89500000000001</v>
      </c>
      <c r="F8" s="178">
        <f>INDEX(connections!21:21,0,MATCH('Table 7'!F5,connections!1:1,0))/$A$1</f>
        <v>248.292</v>
      </c>
      <c r="G8" s="178">
        <f>INDEX(connections!21:21,0,MATCH('Table 7'!G5,connections!1:1,0))/$A$1</f>
        <v>254.05199999999999</v>
      </c>
      <c r="H8" s="178">
        <f>INDEX(connections!21:21,0,MATCH('Table 7'!H5,connections!1:1,0))/$A$1</f>
        <v>259.303</v>
      </c>
    </row>
    <row r="9" spans="1:9" ht="15" customHeight="1" x14ac:dyDescent="0.25">
      <c r="A9" s="26" t="s">
        <v>69</v>
      </c>
      <c r="D9" s="9" t="s">
        <v>84</v>
      </c>
      <c r="E9" s="178">
        <f>INDEX(connections!31:31,0,MATCH('Table 7'!E5,connections!1:1,0))/$A$1</f>
        <v>88.355784692530904</v>
      </c>
      <c r="F9" s="178">
        <f>INDEX(connections!31:31,0,MATCH('Table 7'!F5,connections!1:1,0))/$A$1</f>
        <v>93.258156974025098</v>
      </c>
      <c r="G9" s="178">
        <f>INDEX(connections!31:31,0,MATCH('Table 7'!G5,connections!1:1,0))/$A$1</f>
        <v>96.688469926796245</v>
      </c>
      <c r="H9" s="178">
        <f>INDEX(connections!31:31,0,MATCH('Table 7'!H5,connections!1:1,0))/$A$1</f>
        <v>93.459503585822048</v>
      </c>
      <c r="I9" s="58"/>
    </row>
    <row r="10" spans="1:9" s="69" customFormat="1" ht="15" customHeight="1" x14ac:dyDescent="0.25">
      <c r="A10" s="81"/>
      <c r="D10" s="69" t="s">
        <v>85</v>
      </c>
      <c r="E10" s="178">
        <f>INDEX(connections!45:45,0,MATCH('Table 7'!E5,connections!1:1,0))/$A$1</f>
        <v>37.895215307469094</v>
      </c>
      <c r="F10" s="178">
        <f>INDEX(connections!45:45,0,MATCH('Table 7'!F5,connections!1:1,0))/$A$1</f>
        <v>51.545843025974897</v>
      </c>
      <c r="G10" s="178">
        <f>INDEX(connections!45:45,0,MATCH('Table 7'!G5,connections!1:1,0))/$A$1</f>
        <v>63.125530073203755</v>
      </c>
      <c r="H10" s="178">
        <f>INDEX(connections!45:45,0,MATCH('Table 7'!H5,connections!1:1,0))/$A$1</f>
        <v>66.374496414177941</v>
      </c>
      <c r="I10" s="58"/>
    </row>
    <row r="11" spans="1:9" ht="15" customHeight="1" x14ac:dyDescent="0.25">
      <c r="A11" s="59" t="s">
        <v>70</v>
      </c>
      <c r="D11" s="60" t="s">
        <v>83</v>
      </c>
      <c r="E11" s="179">
        <f>SUM(E8:E10)</f>
        <v>364.14600000000002</v>
      </c>
      <c r="F11" s="179">
        <f t="shared" ref="F11:H11" si="0">SUM(F8:F10)</f>
        <v>393.09599999999995</v>
      </c>
      <c r="G11" s="179">
        <f t="shared" si="0"/>
        <v>413.86599999999999</v>
      </c>
      <c r="H11" s="179">
        <f t="shared" si="0"/>
        <v>419.137</v>
      </c>
      <c r="I11" s="13"/>
    </row>
    <row r="12" spans="1:9" ht="6" customHeight="1" x14ac:dyDescent="0.25">
      <c r="E12" s="138"/>
      <c r="F12" s="138"/>
      <c r="G12" s="138"/>
      <c r="H12" s="138"/>
    </row>
    <row r="13" spans="1:9" ht="15" x14ac:dyDescent="0.25">
      <c r="A13" s="26" t="s">
        <v>71</v>
      </c>
      <c r="C13" s="44" t="s">
        <v>72</v>
      </c>
      <c r="D13" s="4"/>
      <c r="E13" s="139"/>
      <c r="F13" s="139"/>
      <c r="G13" s="139"/>
      <c r="H13" s="139"/>
    </row>
    <row r="14" spans="1:9" ht="15" customHeight="1" x14ac:dyDescent="0.25">
      <c r="A14" s="26" t="s">
        <v>68</v>
      </c>
      <c r="D14" s="9" t="s">
        <v>68</v>
      </c>
      <c r="E14" s="140"/>
      <c r="F14" s="140">
        <f t="shared" ref="F14:H15" si="1">(F8-E8)/E8</f>
        <v>4.3704155194518549E-2</v>
      </c>
      <c r="G14" s="140">
        <f t="shared" si="1"/>
        <v>2.3198492098013591E-2</v>
      </c>
      <c r="H14" s="140">
        <f t="shared" si="1"/>
        <v>2.0668996898272812E-2</v>
      </c>
    </row>
    <row r="15" spans="1:9" ht="15" customHeight="1" x14ac:dyDescent="0.25">
      <c r="A15" s="26" t="s">
        <v>69</v>
      </c>
      <c r="D15" s="9" t="s">
        <v>84</v>
      </c>
      <c r="E15" s="140"/>
      <c r="F15" s="140">
        <f t="shared" si="1"/>
        <v>5.5484451850594155E-2</v>
      </c>
      <c r="G15" s="140">
        <f t="shared" si="1"/>
        <v>3.6782980321245044E-2</v>
      </c>
      <c r="H15" s="140">
        <f t="shared" si="1"/>
        <v>-3.3395567676465218E-2</v>
      </c>
    </row>
    <row r="16" spans="1:9" s="69" customFormat="1" ht="15" customHeight="1" x14ac:dyDescent="0.25">
      <c r="A16" s="81"/>
      <c r="D16" s="69" t="s">
        <v>85</v>
      </c>
      <c r="E16" s="140"/>
      <c r="F16" s="140">
        <f>(F10-E10)/E10</f>
        <v>0.36022034992410462</v>
      </c>
      <c r="G16" s="140">
        <f t="shared" ref="G16:H16" si="2">(G10-F10)/F10</f>
        <v>0.22464832016412345</v>
      </c>
      <c r="H16" s="140">
        <f t="shared" si="2"/>
        <v>5.1468341528483154E-2</v>
      </c>
    </row>
    <row r="17" spans="1:8" ht="15" customHeight="1" x14ac:dyDescent="0.25">
      <c r="A17" s="61" t="s">
        <v>44</v>
      </c>
      <c r="D17" s="14" t="s">
        <v>73</v>
      </c>
      <c r="E17" s="141"/>
      <c r="F17" s="141">
        <f>(F11-E11)/E11</f>
        <v>7.9501079237448521E-2</v>
      </c>
      <c r="G17" s="141">
        <f t="shared" ref="G17:H17" si="3">(G11-F11)/F11</f>
        <v>5.2836966033742501E-2</v>
      </c>
      <c r="H17" s="141">
        <f t="shared" si="3"/>
        <v>1.2736006340216436E-2</v>
      </c>
    </row>
    <row r="18" spans="1:8" ht="6" customHeight="1" x14ac:dyDescent="0.25">
      <c r="E18" s="138"/>
      <c r="F18" s="138"/>
      <c r="G18" s="138"/>
      <c r="H18" s="138"/>
    </row>
    <row r="19" spans="1:8" ht="15" x14ac:dyDescent="0.25">
      <c r="A19" s="26" t="s">
        <v>74</v>
      </c>
      <c r="C19" s="44" t="s">
        <v>75</v>
      </c>
      <c r="D19" s="4"/>
      <c r="E19" s="139"/>
      <c r="F19" s="139"/>
      <c r="G19" s="139"/>
      <c r="H19" s="139"/>
    </row>
    <row r="20" spans="1:8" ht="15" customHeight="1" x14ac:dyDescent="0.25">
      <c r="A20" s="26" t="s">
        <v>68</v>
      </c>
      <c r="D20" s="9" t="s">
        <v>68</v>
      </c>
      <c r="E20" s="140">
        <f>E8/E11</f>
        <v>0.65329565613792273</v>
      </c>
      <c r="F20" s="140">
        <f>F8/F11</f>
        <v>0.63163196776359987</v>
      </c>
      <c r="G20" s="140">
        <f>G8/G11</f>
        <v>0.61385085994017385</v>
      </c>
      <c r="H20" s="140">
        <f>H8/H11</f>
        <v>0.6186592927849367</v>
      </c>
    </row>
    <row r="21" spans="1:8" ht="15" customHeight="1" x14ac:dyDescent="0.25">
      <c r="A21" s="26" t="s">
        <v>69</v>
      </c>
      <c r="D21" s="9" t="s">
        <v>84</v>
      </c>
      <c r="E21" s="140">
        <f>E9/E11</f>
        <v>0.24263835025657537</v>
      </c>
      <c r="F21" s="140">
        <f>F9/F11</f>
        <v>0.23724015755445263</v>
      </c>
      <c r="G21" s="140">
        <f>G9/G11</f>
        <v>0.23362264580032244</v>
      </c>
      <c r="H21" s="140">
        <f>H9/H11</f>
        <v>0.22298080003870346</v>
      </c>
    </row>
    <row r="22" spans="1:8" s="69" customFormat="1" ht="15" customHeight="1" x14ac:dyDescent="0.25">
      <c r="A22" s="81"/>
      <c r="D22" s="69" t="s">
        <v>85</v>
      </c>
      <c r="E22" s="140">
        <f>E10/E11</f>
        <v>0.10406599360550189</v>
      </c>
      <c r="F22" s="140">
        <f t="shared" ref="F22:H22" si="4">F10/F11</f>
        <v>0.13112787468194767</v>
      </c>
      <c r="G22" s="140">
        <f t="shared" si="4"/>
        <v>0.15252649425950371</v>
      </c>
      <c r="H22" s="140">
        <f t="shared" si="4"/>
        <v>0.15835990717635987</v>
      </c>
    </row>
    <row r="23" spans="1:8" ht="15" customHeight="1" x14ac:dyDescent="0.35">
      <c r="A23" s="59" t="s">
        <v>70</v>
      </c>
      <c r="D23" s="60" t="s">
        <v>76</v>
      </c>
      <c r="E23" s="141">
        <f>SUM(E20:E22)</f>
        <v>1</v>
      </c>
      <c r="F23" s="141">
        <f t="shared" ref="F23:H23" si="5">SUM(F20:F22)</f>
        <v>1.0000000000000002</v>
      </c>
      <c r="G23" s="141">
        <f t="shared" si="5"/>
        <v>1</v>
      </c>
      <c r="H23" s="141">
        <f t="shared" si="5"/>
        <v>1</v>
      </c>
    </row>
    <row r="24" spans="1:8" ht="6" customHeight="1" thickBot="1" x14ac:dyDescent="0.4">
      <c r="C24" s="55"/>
      <c r="D24" s="1"/>
      <c r="E24" s="1"/>
      <c r="F24" s="1"/>
      <c r="G24" s="1"/>
      <c r="H24" s="1"/>
    </row>
    <row r="25" spans="1:8" ht="6" customHeight="1" thickTop="1" x14ac:dyDescent="0.35"/>
    <row r="26" spans="1:8" s="63" customFormat="1" ht="228.75" customHeight="1" x14ac:dyDescent="0.35">
      <c r="A26" s="62"/>
      <c r="C26" s="199" t="s">
        <v>129</v>
      </c>
      <c r="D26" s="199"/>
      <c r="E26" s="199"/>
      <c r="F26" s="199"/>
      <c r="G26" s="199"/>
      <c r="H26" s="199"/>
    </row>
    <row r="27" spans="1:8" ht="46.5" customHeight="1" x14ac:dyDescent="0.35">
      <c r="C27" s="199" t="s">
        <v>130</v>
      </c>
      <c r="D27" s="199"/>
      <c r="E27" s="199"/>
      <c r="F27" s="199"/>
      <c r="G27" s="199"/>
      <c r="H27" s="199"/>
    </row>
    <row r="28" spans="1:8" ht="33.75" customHeight="1" x14ac:dyDescent="0.35">
      <c r="C28" s="199" t="s">
        <v>131</v>
      </c>
      <c r="D28" s="199"/>
      <c r="E28" s="199"/>
      <c r="F28" s="199"/>
      <c r="G28" s="199"/>
      <c r="H28" s="199"/>
    </row>
  </sheetData>
  <mergeCells count="3">
    <mergeCell ref="C26:H26"/>
    <mergeCell ref="C27:H27"/>
    <mergeCell ref="C28:H28"/>
  </mergeCells>
  <printOptions horizontalCentered="1"/>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view="pageBreakPreview" zoomScale="60" zoomScaleNormal="100" workbookViewId="0">
      <selection activeCell="H37" sqref="H37"/>
    </sheetView>
  </sheetViews>
  <sheetFormatPr defaultRowHeight="14.5" x14ac:dyDescent="0.35"/>
  <cols>
    <col min="1" max="1" width="14.1796875" style="69" customWidth="1"/>
    <col min="2" max="2" width="4" style="69" customWidth="1"/>
    <col min="3" max="3" width="43.453125" style="69" customWidth="1"/>
    <col min="4" max="4" width="1.7265625" style="69" customWidth="1"/>
    <col min="5" max="6" width="14.1796875" style="69" customWidth="1"/>
    <col min="7" max="7" width="14.1796875" customWidth="1"/>
    <col min="8" max="8" width="14.7265625" customWidth="1"/>
    <col min="11" max="11" width="32.54296875" bestFit="1" customWidth="1"/>
    <col min="12" max="15" width="13.26953125" bestFit="1" customWidth="1"/>
  </cols>
  <sheetData>
    <row r="1" spans="2:15" ht="15.75" thickBot="1" x14ac:dyDescent="0.3">
      <c r="B1" s="72"/>
      <c r="C1" s="72"/>
      <c r="D1" s="72"/>
      <c r="E1" s="72"/>
      <c r="F1" s="72"/>
      <c r="G1" s="72"/>
      <c r="H1" s="72"/>
      <c r="I1" s="69"/>
    </row>
    <row r="2" spans="2:15" ht="6" customHeight="1" thickTop="1" x14ac:dyDescent="0.25">
      <c r="G2" s="69"/>
      <c r="H2" s="69"/>
      <c r="I2" s="69"/>
      <c r="K2" s="69"/>
      <c r="L2" s="82"/>
      <c r="M2" s="69"/>
      <c r="N2" s="69"/>
      <c r="O2" s="69"/>
    </row>
    <row r="3" spans="2:15" ht="18.75" x14ac:dyDescent="0.3">
      <c r="B3" s="205" t="s">
        <v>82</v>
      </c>
      <c r="C3" s="205"/>
      <c r="D3" s="205"/>
      <c r="E3" s="205"/>
      <c r="F3" s="205"/>
      <c r="G3" s="205"/>
      <c r="H3" s="205"/>
      <c r="I3" s="69"/>
      <c r="J3" s="69"/>
      <c r="K3" s="69"/>
      <c r="L3" s="82"/>
      <c r="M3" s="69"/>
      <c r="N3" s="69"/>
      <c r="O3" s="69"/>
    </row>
    <row r="4" spans="2:15" ht="6" customHeight="1" x14ac:dyDescent="0.25">
      <c r="B4" s="73"/>
      <c r="C4" s="152"/>
      <c r="D4" s="152"/>
      <c r="E4" s="2"/>
      <c r="F4" s="2"/>
      <c r="G4" s="19"/>
      <c r="H4" s="19"/>
      <c r="I4" s="69"/>
      <c r="J4" s="69"/>
    </row>
    <row r="5" spans="2:15" ht="6" customHeight="1" x14ac:dyDescent="0.25">
      <c r="E5" s="15"/>
      <c r="F5" s="15"/>
      <c r="G5" s="69"/>
      <c r="H5" s="69"/>
      <c r="I5" s="69"/>
      <c r="J5" s="69"/>
      <c r="K5" s="69"/>
      <c r="L5" s="82"/>
      <c r="M5" s="69"/>
      <c r="N5" s="69"/>
      <c r="O5" s="69"/>
    </row>
    <row r="6" spans="2:15" ht="15" x14ac:dyDescent="0.25">
      <c r="C6" s="6"/>
      <c r="D6" s="148"/>
      <c r="E6" s="148" t="s">
        <v>57</v>
      </c>
      <c r="F6" s="148" t="s">
        <v>58</v>
      </c>
      <c r="G6" s="148" t="s">
        <v>59</v>
      </c>
      <c r="H6" s="148" t="s">
        <v>60</v>
      </c>
      <c r="I6" s="69"/>
      <c r="J6" s="69"/>
    </row>
    <row r="7" spans="2:15" ht="6" customHeight="1" x14ac:dyDescent="0.25">
      <c r="B7" s="73"/>
      <c r="C7" s="73"/>
      <c r="D7" s="73"/>
      <c r="E7" s="73"/>
      <c r="F7" s="73"/>
      <c r="G7" s="73"/>
      <c r="H7" s="73"/>
      <c r="I7" s="69"/>
      <c r="J7" s="69"/>
    </row>
    <row r="8" spans="2:15" ht="6" customHeight="1" x14ac:dyDescent="0.25">
      <c r="G8" s="78"/>
      <c r="H8" s="78"/>
      <c r="I8" s="69"/>
      <c r="J8" s="69"/>
    </row>
    <row r="9" spans="2:15" ht="15" x14ac:dyDescent="0.25">
      <c r="B9" s="69" t="s">
        <v>64</v>
      </c>
      <c r="C9" s="69" t="s">
        <v>157</v>
      </c>
      <c r="E9" s="65">
        <f>connections!$C$8-connections!$C$16-connections!$C$24</f>
        <v>33790000</v>
      </c>
      <c r="F9" s="79">
        <f>connections!$D$8-connections!$D$16-connections!$D$24</f>
        <v>39945000</v>
      </c>
      <c r="G9" s="79">
        <f>connections!$E$8-connections!$E$16-connections!$E$24</f>
        <v>43577000</v>
      </c>
      <c r="H9" s="79">
        <f>connections!$F$8-connections!$F$16-connections!$F$24</f>
        <v>48385000</v>
      </c>
      <c r="I9" s="69"/>
    </row>
    <row r="10" spans="2:15" ht="15" x14ac:dyDescent="0.25">
      <c r="B10" s="69" t="s">
        <v>65</v>
      </c>
      <c r="C10" s="69" t="s">
        <v>150</v>
      </c>
      <c r="E10" s="65">
        <f>$E$9-connections!$C$34</f>
        <v>19935000</v>
      </c>
      <c r="F10" s="79">
        <f>$F$9-connections!$D$34</f>
        <v>26171000</v>
      </c>
      <c r="G10" s="79">
        <f>$G$9-connections!$E$34</f>
        <v>31628000</v>
      </c>
      <c r="H10" s="79">
        <f>$H$9-connections!$F$34</f>
        <v>39019000</v>
      </c>
      <c r="I10" s="69"/>
    </row>
    <row r="11" spans="2:15" ht="6" customHeight="1" x14ac:dyDescent="0.25">
      <c r="E11" s="127"/>
      <c r="F11" s="127"/>
      <c r="G11" s="127"/>
      <c r="H11" s="127"/>
      <c r="I11" s="69"/>
      <c r="J11" s="69"/>
      <c r="K11" s="69"/>
      <c r="L11" s="82"/>
      <c r="M11" s="69"/>
      <c r="N11" s="69"/>
      <c r="O11" s="69"/>
    </row>
    <row r="12" spans="2:15" s="69" customFormat="1" ht="15" x14ac:dyDescent="0.25">
      <c r="B12" s="69" t="s">
        <v>66</v>
      </c>
      <c r="C12" s="69" t="s">
        <v>158</v>
      </c>
      <c r="E12" s="79">
        <f>connections!C9-connections!C17-connections!C25</f>
        <v>19791000</v>
      </c>
      <c r="F12" s="79">
        <f>connections!D9-connections!D17-connections!D25</f>
        <v>25892000</v>
      </c>
      <c r="G12" s="79">
        <f>connections!E9-connections!E17-connections!E25</f>
        <v>28754000</v>
      </c>
      <c r="H12" s="79">
        <f>connections!F9-connections!F17-connections!F25</f>
        <v>29046000</v>
      </c>
      <c r="L12" s="82"/>
    </row>
    <row r="13" spans="2:15" ht="6" customHeight="1" x14ac:dyDescent="0.25">
      <c r="E13" s="127"/>
      <c r="F13" s="127"/>
      <c r="G13" s="127"/>
      <c r="H13" s="127"/>
      <c r="I13" s="69"/>
      <c r="J13" s="69"/>
      <c r="K13" s="69"/>
      <c r="L13" s="82"/>
      <c r="M13" s="69"/>
      <c r="N13" s="69"/>
      <c r="O13" s="69"/>
    </row>
    <row r="14" spans="2:15" ht="15" x14ac:dyDescent="0.25">
      <c r="B14" s="69" t="s">
        <v>148</v>
      </c>
      <c r="C14" s="69" t="s">
        <v>152</v>
      </c>
      <c r="E14" s="154">
        <f>connections!$C$34/$E$9</f>
        <v>0.41003255401006217</v>
      </c>
      <c r="F14" s="155">
        <f>connections!$D$34/$F$9</f>
        <v>0.34482413318312682</v>
      </c>
      <c r="G14" s="155">
        <f>connections!$E$34/$G$9</f>
        <v>0.27420428207540676</v>
      </c>
      <c r="H14" s="155">
        <f>connections!$F$34/$H$9</f>
        <v>0.19357238813681926</v>
      </c>
      <c r="I14" s="69"/>
      <c r="J14" s="69"/>
    </row>
    <row r="15" spans="2:15" s="69" customFormat="1" ht="15" x14ac:dyDescent="0.25">
      <c r="B15" s="69" t="s">
        <v>149</v>
      </c>
      <c r="C15" s="69" t="s">
        <v>151</v>
      </c>
      <c r="E15" s="64">
        <f>$E$14*$E$12</f>
        <v>8114954.2764131399</v>
      </c>
      <c r="F15" s="80">
        <f>$F$14*$F$12</f>
        <v>8928186.4563775193</v>
      </c>
      <c r="G15" s="80">
        <f>$G$14*$G$12</f>
        <v>7884469.9267962463</v>
      </c>
      <c r="H15" s="80">
        <f>$H$14*$H$12</f>
        <v>5622503.5858220523</v>
      </c>
      <c r="L15" s="65"/>
      <c r="M15" s="79"/>
      <c r="N15" s="79"/>
      <c r="O15" s="79"/>
    </row>
    <row r="16" spans="2:15" ht="6" customHeight="1" thickBot="1" x14ac:dyDescent="0.3">
      <c r="B16" s="72"/>
      <c r="C16" s="72"/>
      <c r="D16" s="72"/>
      <c r="E16" s="111"/>
      <c r="F16" s="111"/>
      <c r="G16" s="130"/>
      <c r="H16" s="130"/>
      <c r="I16" s="69"/>
    </row>
    <row r="17" spans="2:9" s="69" customFormat="1" ht="6" customHeight="1" thickTop="1" x14ac:dyDescent="0.25">
      <c r="B17" s="5"/>
      <c r="C17" s="5"/>
      <c r="D17" s="5"/>
      <c r="E17" s="113"/>
      <c r="F17" s="113"/>
      <c r="G17" s="151"/>
      <c r="H17" s="151"/>
    </row>
    <row r="18" spans="2:9" ht="15" x14ac:dyDescent="0.25">
      <c r="B18" s="69" t="s">
        <v>153</v>
      </c>
      <c r="D18" s="79"/>
      <c r="E18" s="79"/>
      <c r="F18" s="79"/>
      <c r="G18" s="79"/>
      <c r="H18" s="79"/>
      <c r="I18" s="69"/>
    </row>
    <row r="19" spans="2:9" ht="15" x14ac:dyDescent="0.25">
      <c r="B19" s="69" t="str">
        <f>B9&amp;":"</f>
        <v>[A]:</v>
      </c>
      <c r="C19" s="69" t="s">
        <v>155</v>
      </c>
    </row>
    <row r="20" spans="2:9" ht="15" x14ac:dyDescent="0.25">
      <c r="B20" s="69" t="str">
        <f>B10&amp;":"</f>
        <v>[B]:</v>
      </c>
      <c r="C20" s="69" t="s">
        <v>156</v>
      </c>
    </row>
    <row r="21" spans="2:9" ht="15" x14ac:dyDescent="0.25">
      <c r="B21" s="69" t="str">
        <f>B12&amp;":"</f>
        <v>[C]:</v>
      </c>
      <c r="C21" s="69" t="s">
        <v>154</v>
      </c>
    </row>
    <row r="22" spans="2:9" ht="15" x14ac:dyDescent="0.25">
      <c r="B22" s="69" t="str">
        <f>B14&amp;":"</f>
        <v>[D]:</v>
      </c>
      <c r="C22" s="69" t="s">
        <v>159</v>
      </c>
    </row>
    <row r="23" spans="2:9" ht="15" x14ac:dyDescent="0.25">
      <c r="B23" s="69" t="str">
        <f>B15&amp;":"</f>
        <v>[E]:</v>
      </c>
      <c r="C23" s="69" t="s">
        <v>160</v>
      </c>
    </row>
  </sheetData>
  <mergeCells count="1">
    <mergeCell ref="B3:H3"/>
  </mergeCells>
  <pageMargins left="0.7" right="0.7" top="0.75" bottom="0.75" header="0.3" footer="0.3"/>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53"/>
  <sheetViews>
    <sheetView view="pageBreakPreview" topLeftCell="A2" zoomScale="60" zoomScaleNormal="100" workbookViewId="0">
      <pane xSplit="5" ySplit="12" topLeftCell="L14" activePane="bottomRight" state="frozen"/>
      <selection activeCell="R35" activeCellId="1" sqref="R23:R26 R35"/>
      <selection pane="topRight" activeCell="R35" activeCellId="1" sqref="R23:R26 R35"/>
      <selection pane="bottomLeft" activeCell="R35" activeCellId="1" sqref="R23:R26 R35"/>
      <selection pane="bottomRight" activeCell="F14" sqref="F14:AR19"/>
    </sheetView>
  </sheetViews>
  <sheetFormatPr defaultRowHeight="14.5" outlineLevelRow="1" outlineLevelCol="1" x14ac:dyDescent="0.35"/>
  <cols>
    <col min="1" max="1" width="9.26953125" style="26" hidden="1" customWidth="1" outlineLevel="1"/>
    <col min="2" max="2" width="9.26953125" collapsed="1"/>
    <col min="3" max="3" width="6" customWidth="1"/>
    <col min="4" max="4" width="11.7265625" bestFit="1" customWidth="1"/>
    <col min="5" max="5" width="1.7265625" customWidth="1"/>
    <col min="6" max="7" width="13.26953125" style="9" customWidth="1"/>
    <col min="8" max="8" width="13.26953125" customWidth="1"/>
    <col min="9" max="9" width="13.453125" style="9" customWidth="1"/>
    <col min="10" max="10" width="1.7265625" style="9" customWidth="1"/>
    <col min="11" max="12" width="13.54296875" style="9" customWidth="1"/>
    <col min="13" max="13" width="13.7265625" style="9" customWidth="1"/>
    <col min="14" max="14" width="13.453125" style="9" customWidth="1"/>
    <col min="15" max="15" width="1.7265625" style="9" customWidth="1"/>
    <col min="16" max="17" width="17.453125" style="9" customWidth="1"/>
    <col min="18" max="18" width="17" style="9" customWidth="1"/>
    <col min="19" max="19" width="16.7265625" style="9" customWidth="1"/>
    <col min="20" max="20" width="1.7265625" style="9" customWidth="1"/>
    <col min="21" max="22" width="13.54296875" style="9" customWidth="1"/>
    <col min="23" max="23" width="12.453125" style="9" customWidth="1"/>
    <col min="24" max="24" width="12.453125" customWidth="1"/>
    <col min="25" max="25" width="1.7265625" customWidth="1"/>
    <col min="26" max="27" width="13.54296875" style="9" customWidth="1"/>
    <col min="28" max="28" width="14.453125" customWidth="1"/>
    <col min="29" max="29" width="14" style="9" customWidth="1"/>
    <col min="30" max="30" width="1.7265625" style="9" customWidth="1"/>
    <col min="31" max="32" width="13.54296875" style="9" customWidth="1"/>
    <col min="33" max="33" width="14.54296875" style="9" customWidth="1"/>
    <col min="34" max="34" width="16.7265625" style="9" customWidth="1"/>
    <col min="35" max="35" width="1.7265625" style="9" customWidth="1"/>
    <col min="36" max="37" width="18.26953125" style="9" bestFit="1" customWidth="1"/>
    <col min="38" max="38" width="18.7265625" style="9" bestFit="1" customWidth="1"/>
    <col min="39" max="39" width="17.7265625" style="9" customWidth="1"/>
    <col min="40" max="40" width="1.7265625" style="9" customWidth="1"/>
    <col min="41" max="42" width="13.54296875" style="9" customWidth="1"/>
    <col min="43" max="43" width="12.453125" style="9" customWidth="1"/>
    <col min="44" max="44" width="12.453125" customWidth="1"/>
    <col min="45" max="45" width="1.7265625" hidden="1" customWidth="1" outlineLevel="1"/>
    <col min="46" max="46" width="14" hidden="1" customWidth="1" outlineLevel="1"/>
    <col min="47" max="47" width="13.7265625" hidden="1" customWidth="1" outlineLevel="1"/>
    <col min="48" max="48" width="1.7265625" hidden="1" customWidth="1" outlineLevel="1"/>
    <col min="49" max="49" width="15" hidden="1" customWidth="1" outlineLevel="1"/>
    <col min="50" max="50" width="15.453125" hidden="1" customWidth="1" outlineLevel="1"/>
    <col min="51" max="51" width="1.7265625" hidden="1" customWidth="1" outlineLevel="1"/>
    <col min="52" max="53" width="10.54296875" hidden="1" customWidth="1" outlineLevel="1"/>
    <col min="54" max="54" width="1.7265625" style="9" customWidth="1" outlineLevel="1"/>
  </cols>
  <sheetData>
    <row r="1" spans="1:54" s="26" customFormat="1" ht="15" hidden="1" outlineLevel="1" x14ac:dyDescent="0.25">
      <c r="H1" s="26">
        <v>1</v>
      </c>
      <c r="I1" s="26">
        <f>IF(ISBLANK(G5), 0, MAX($H$1:H1)+1)</f>
        <v>0</v>
      </c>
      <c r="J1" s="26">
        <f>IF(ISBLANK(J5), 0, MAX($H$1:I1)+1)</f>
        <v>0</v>
      </c>
      <c r="M1" s="26">
        <f>IF(ISBLANK(K5), 0, MAX($H$1:J1)+1)</f>
        <v>2</v>
      </c>
      <c r="N1" s="26">
        <f>IF(ISBLANK(N5), 0, MAX($H$1:M1)+1)</f>
        <v>0</v>
      </c>
      <c r="O1" s="26">
        <f>IF(ISBLANK(O5), 0, MAX($H$1:N1)+1)</f>
        <v>0</v>
      </c>
      <c r="R1" s="26">
        <f>IF(ISBLANK(P5), 0, MAX($H$1:O1)+1)</f>
        <v>3</v>
      </c>
      <c r="S1" s="26">
        <f>IF(ISBLANK(S5), 0, MAX($H$1:R1)+1)</f>
        <v>0</v>
      </c>
      <c r="T1" s="26">
        <f>IF(ISBLANK(T5), 0, MAX($H$1:S1)+1)</f>
        <v>0</v>
      </c>
      <c r="W1" s="26">
        <f>IF(ISBLANK(U5), 0, MAX($H$1:T1)+1)</f>
        <v>4</v>
      </c>
      <c r="X1" s="26">
        <f>IF(ISBLANK(X5), 0, MAX($H$1:W1)+1)</f>
        <v>0</v>
      </c>
      <c r="Y1" s="26">
        <f>IF(ISBLANK(Y5), 0, MAX($H$1:X1)+1)</f>
        <v>0</v>
      </c>
      <c r="AB1" s="26">
        <f>IF(ISBLANK(Z5), 0, MAX($H$1:Y1)+1)</f>
        <v>5</v>
      </c>
      <c r="AC1" s="26">
        <f>IF(ISBLANK(AC5), 0, MAX($H$1:AB1)+1)</f>
        <v>0</v>
      </c>
      <c r="AD1" s="26">
        <f>IF(ISBLANK(AD5), 0, MAX($H$1:AC1)+1)</f>
        <v>0</v>
      </c>
      <c r="AG1" s="26">
        <f>IF(ISBLANK(AE5), 0, MAX($H$1:AD1)+1)</f>
        <v>6</v>
      </c>
      <c r="AH1" s="26">
        <f>IF(ISBLANK(AH5), 0, MAX($H$1:AG1)+1)</f>
        <v>0</v>
      </c>
      <c r="AI1" s="26">
        <f>IF(ISBLANK(AI5), 0, MAX($H$1:AH1)+1)</f>
        <v>0</v>
      </c>
      <c r="AL1" s="26">
        <f>IF(ISBLANK(AJ5), 0, MAX($H$1:AI1)+1)</f>
        <v>7</v>
      </c>
      <c r="AM1" s="26">
        <f>IF(ISBLANK(AM5), 0, MAX($H$1:AL1)+1)</f>
        <v>0</v>
      </c>
      <c r="AN1" s="26">
        <f>IF(ISBLANK(AN5), 0, MAX($H$1:AM1)+1)</f>
        <v>0</v>
      </c>
      <c r="AQ1" s="26">
        <f>IF(ISBLANK(AO5), 0, MAX($H$1:AN1)+1)</f>
        <v>8</v>
      </c>
      <c r="AR1" s="26">
        <f>IF(ISBLANK(AR5), 0, MAX($H$1:AQ1)+1)</f>
        <v>0</v>
      </c>
      <c r="AS1" s="26">
        <f>IF(ISBLANK(AS5), 0, MAX($H$1:AR1)+1)</f>
        <v>0</v>
      </c>
      <c r="AT1" s="26">
        <f>IF(ISBLANK(AT5), 0, MAX($H$1:AS1)+1)</f>
        <v>9</v>
      </c>
      <c r="AU1" s="26">
        <f>IF(ISBLANK(AU5), 0, MAX($H$1:AT1)+1)</f>
        <v>0</v>
      </c>
      <c r="AV1" s="26">
        <f>IF(ISBLANK(AV5), 0, MAX($H$1:AU1)+1)</f>
        <v>0</v>
      </c>
      <c r="AW1" s="26">
        <f>IF(ISBLANK(AW5), 0, MAX($H$1:AV1)+1)</f>
        <v>10</v>
      </c>
      <c r="AX1" s="26">
        <f>IF(ISBLANK(AX5), 0, MAX($H$1:AW1)+1)</f>
        <v>0</v>
      </c>
      <c r="AY1" s="26">
        <f>IF(ISBLANK(AY5), 0, MAX($H$1:AX1)+1)</f>
        <v>0</v>
      </c>
      <c r="AZ1" s="26">
        <f>IF(ISBLANK(AZ5), 0, MAX($H$1:AY1)+1)</f>
        <v>11</v>
      </c>
      <c r="BA1" s="26">
        <f>IF(ISBLANK(BA5), 0, MAX($H$1:AZ1)+1)</f>
        <v>0</v>
      </c>
    </row>
    <row r="2" spans="1:54" s="9" customFormat="1" ht="23.25" collapsed="1" x14ac:dyDescent="0.35">
      <c r="A2" s="26"/>
      <c r="C2" s="28" t="s">
        <v>22</v>
      </c>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9"/>
      <c r="BB2" s="29"/>
    </row>
    <row r="3" spans="1:54" ht="6" customHeight="1" thickBot="1" x14ac:dyDescent="0.3">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5"/>
    </row>
    <row r="4" spans="1:54" ht="6" customHeight="1" thickTop="1" x14ac:dyDescent="0.25"/>
    <row r="5" spans="1:54" ht="53.25" customHeight="1" x14ac:dyDescent="0.25">
      <c r="A5" s="27"/>
      <c r="B5" s="5"/>
      <c r="C5" s="5"/>
      <c r="D5" s="23"/>
      <c r="E5" s="23"/>
      <c r="F5" s="206" t="s">
        <v>16</v>
      </c>
      <c r="G5" s="206"/>
      <c r="H5" s="206"/>
      <c r="I5" s="206"/>
      <c r="J5" s="22"/>
      <c r="K5" s="206" t="s">
        <v>17</v>
      </c>
      <c r="L5" s="206"/>
      <c r="M5" s="206"/>
      <c r="N5" s="206"/>
      <c r="O5" s="21"/>
      <c r="P5" s="207" t="s">
        <v>14</v>
      </c>
      <c r="Q5" s="207"/>
      <c r="R5" s="207"/>
      <c r="S5" s="207"/>
      <c r="T5" s="21"/>
      <c r="U5" s="206" t="s">
        <v>21</v>
      </c>
      <c r="V5" s="206"/>
      <c r="W5" s="206"/>
      <c r="X5" s="206"/>
      <c r="Y5" s="24"/>
      <c r="Z5" s="207" t="s">
        <v>37</v>
      </c>
      <c r="AA5" s="207"/>
      <c r="AB5" s="207"/>
      <c r="AC5" s="207"/>
      <c r="AD5" s="21"/>
      <c r="AE5" s="207" t="s">
        <v>18</v>
      </c>
      <c r="AF5" s="207"/>
      <c r="AG5" s="207"/>
      <c r="AH5" s="207"/>
      <c r="AI5" s="21"/>
      <c r="AJ5" s="207" t="s">
        <v>15</v>
      </c>
      <c r="AK5" s="207"/>
      <c r="AL5" s="207"/>
      <c r="AM5" s="207"/>
      <c r="AN5" s="21"/>
      <c r="AO5" s="206" t="s">
        <v>20</v>
      </c>
      <c r="AP5" s="206"/>
      <c r="AQ5" s="206"/>
      <c r="AR5" s="206"/>
      <c r="AS5" s="24"/>
      <c r="AT5" s="207" t="s">
        <v>5</v>
      </c>
      <c r="AU5" s="207"/>
      <c r="AV5" s="25"/>
      <c r="AW5" s="207" t="s">
        <v>6</v>
      </c>
      <c r="AX5" s="207"/>
      <c r="AY5" s="25"/>
      <c r="AZ5" s="206" t="s">
        <v>8</v>
      </c>
      <c r="BA5" s="206"/>
      <c r="BB5" s="47"/>
    </row>
    <row r="6" spans="1:54" s="9" customFormat="1" ht="6" customHeight="1" x14ac:dyDescent="0.25">
      <c r="A6" s="27"/>
      <c r="B6" s="5"/>
      <c r="C6" s="5"/>
      <c r="D6" s="23"/>
      <c r="E6" s="23"/>
      <c r="F6" s="23"/>
      <c r="G6" s="23"/>
      <c r="H6" s="19"/>
      <c r="I6" s="19"/>
      <c r="J6" s="22"/>
      <c r="K6" s="32"/>
      <c r="L6" s="32"/>
      <c r="M6" s="19"/>
      <c r="N6" s="19"/>
      <c r="O6" s="21"/>
      <c r="P6" s="31"/>
      <c r="Q6" s="31"/>
      <c r="R6" s="20"/>
      <c r="S6" s="20"/>
      <c r="T6" s="21"/>
      <c r="U6" s="31"/>
      <c r="V6" s="31"/>
      <c r="W6" s="19"/>
      <c r="X6" s="19"/>
      <c r="Y6" s="24"/>
      <c r="Z6" s="24"/>
      <c r="AA6" s="24"/>
      <c r="AB6" s="20"/>
      <c r="AC6" s="20"/>
      <c r="AD6" s="21"/>
      <c r="AE6" s="31"/>
      <c r="AF6" s="31"/>
      <c r="AG6" s="20"/>
      <c r="AH6" s="20"/>
      <c r="AI6" s="21"/>
      <c r="AJ6" s="31"/>
      <c r="AK6" s="31"/>
      <c r="AL6" s="20"/>
      <c r="AM6" s="20"/>
      <c r="AN6" s="21"/>
      <c r="AO6" s="31"/>
      <c r="AP6" s="31"/>
      <c r="AQ6" s="19"/>
      <c r="AR6" s="19"/>
      <c r="AS6" s="24"/>
      <c r="AT6" s="20"/>
      <c r="AU6" s="20"/>
      <c r="AV6" s="25"/>
      <c r="AW6" s="20"/>
      <c r="AX6" s="20"/>
      <c r="AY6" s="25"/>
      <c r="AZ6" s="19"/>
      <c r="BA6" s="19"/>
      <c r="BB6" s="47"/>
    </row>
    <row r="7" spans="1:54" s="9" customFormat="1" ht="6" customHeight="1" x14ac:dyDescent="0.25">
      <c r="A7" s="27"/>
      <c r="B7" s="5"/>
      <c r="C7" s="5"/>
      <c r="D7" s="23"/>
      <c r="E7" s="23"/>
      <c r="F7" s="35"/>
      <c r="G7" s="35"/>
      <c r="H7" s="22"/>
      <c r="I7" s="22"/>
      <c r="J7" s="22"/>
      <c r="K7" s="37"/>
      <c r="L7" s="37"/>
      <c r="M7" s="22"/>
      <c r="N7" s="22"/>
      <c r="O7" s="21"/>
      <c r="P7" s="38"/>
      <c r="Q7" s="38"/>
      <c r="R7" s="21"/>
      <c r="S7" s="21"/>
      <c r="T7" s="21"/>
      <c r="U7" s="38"/>
      <c r="V7" s="38"/>
      <c r="W7" s="22"/>
      <c r="X7" s="22"/>
      <c r="Y7" s="24"/>
      <c r="Z7" s="39"/>
      <c r="AA7" s="39"/>
      <c r="AB7" s="21"/>
      <c r="AC7" s="21"/>
      <c r="AD7" s="21"/>
      <c r="AE7" s="38"/>
      <c r="AF7" s="38"/>
      <c r="AG7" s="21"/>
      <c r="AH7" s="21"/>
      <c r="AI7" s="21"/>
      <c r="AJ7" s="38"/>
      <c r="AK7" s="38"/>
      <c r="AL7" s="21"/>
      <c r="AM7" s="21"/>
      <c r="AN7" s="21"/>
      <c r="AO7" s="38"/>
      <c r="AP7" s="38"/>
      <c r="AQ7" s="22"/>
      <c r="AR7" s="22"/>
      <c r="AS7" s="24"/>
      <c r="AT7" s="21"/>
      <c r="AU7" s="21"/>
      <c r="AV7" s="25"/>
      <c r="AW7" s="21"/>
      <c r="AX7" s="21"/>
      <c r="AY7" s="25"/>
      <c r="AZ7" s="22"/>
      <c r="BA7" s="22"/>
      <c r="BB7" s="47"/>
    </row>
    <row r="8" spans="1:54" s="9" customFormat="1" ht="15" x14ac:dyDescent="0.25">
      <c r="A8" s="27"/>
      <c r="B8" s="5"/>
      <c r="C8" s="5"/>
      <c r="D8" s="23"/>
      <c r="E8" s="23"/>
      <c r="F8" s="30" t="str">
        <f>IF(ISBLANK(F5), "","["&amp;H1&amp;"]")</f>
        <v>[1]</v>
      </c>
      <c r="G8" s="23"/>
      <c r="H8" s="29"/>
      <c r="I8" s="30"/>
      <c r="J8" s="30" t="str">
        <f t="shared" ref="J8:AZ8" si="0">IF(ISBLANK(J5), "","["&amp;J1&amp;"]")</f>
        <v/>
      </c>
      <c r="K8" s="30" t="str">
        <f>IF(ISBLANK(K5), "","["&amp;M1&amp;"]")</f>
        <v>[2]</v>
      </c>
      <c r="L8" s="30"/>
      <c r="M8" s="29"/>
      <c r="N8" s="30"/>
      <c r="O8" s="30" t="str">
        <f t="shared" si="0"/>
        <v/>
      </c>
      <c r="P8" s="30" t="str">
        <f>IF(ISBLANK(P5), "","["&amp;R1&amp;"]")</f>
        <v>[3]</v>
      </c>
      <c r="Q8" s="30"/>
      <c r="R8" s="29"/>
      <c r="S8" s="30"/>
      <c r="T8" s="30" t="str">
        <f t="shared" si="0"/>
        <v/>
      </c>
      <c r="U8" s="30" t="str">
        <f>IF(ISBLANK(U5), "","["&amp;W1&amp;"]")</f>
        <v>[4]</v>
      </c>
      <c r="V8" s="30"/>
      <c r="W8" s="29"/>
      <c r="X8" s="30"/>
      <c r="Y8" s="30" t="str">
        <f t="shared" si="0"/>
        <v/>
      </c>
      <c r="Z8" s="30" t="str">
        <f>IF(ISBLANK(Z5), "","["&amp;AB1&amp;"]")</f>
        <v>[5]</v>
      </c>
      <c r="AA8" s="30"/>
      <c r="AB8" s="29"/>
      <c r="AC8" s="30"/>
      <c r="AD8" s="30" t="str">
        <f t="shared" si="0"/>
        <v/>
      </c>
      <c r="AE8" s="30" t="str">
        <f>IF(ISBLANK(AE5), "","["&amp;AG1&amp;"]")</f>
        <v>[6]</v>
      </c>
      <c r="AF8" s="30"/>
      <c r="AG8" s="29"/>
      <c r="AH8" s="30"/>
      <c r="AI8" s="30" t="str">
        <f t="shared" si="0"/>
        <v/>
      </c>
      <c r="AJ8" s="30" t="str">
        <f>IF(ISBLANK(AJ5), "","["&amp;AL1&amp;"]")</f>
        <v>[7]</v>
      </c>
      <c r="AK8" s="30"/>
      <c r="AL8" s="29"/>
      <c r="AM8" s="30"/>
      <c r="AN8" s="30" t="str">
        <f t="shared" si="0"/>
        <v/>
      </c>
      <c r="AO8" s="30" t="str">
        <f>IF(ISBLANK(AO5), "","["&amp;AQ1&amp;"]")</f>
        <v>[8]</v>
      </c>
      <c r="AP8" s="30"/>
      <c r="AQ8" s="29"/>
      <c r="AR8" s="30"/>
      <c r="AS8" s="30" t="str">
        <f t="shared" si="0"/>
        <v/>
      </c>
      <c r="AT8" s="30" t="str">
        <f t="shared" si="0"/>
        <v>[9]</v>
      </c>
      <c r="AU8" s="30"/>
      <c r="AV8" s="30" t="str">
        <f t="shared" si="0"/>
        <v/>
      </c>
      <c r="AW8" s="30" t="str">
        <f t="shared" si="0"/>
        <v>[10]</v>
      </c>
      <c r="AX8" s="30"/>
      <c r="AY8" s="30" t="str">
        <f t="shared" si="0"/>
        <v/>
      </c>
      <c r="AZ8" s="30" t="str">
        <f t="shared" si="0"/>
        <v>[11]</v>
      </c>
      <c r="BA8" s="30"/>
      <c r="BB8" s="30"/>
    </row>
    <row r="9" spans="1:54" s="9" customFormat="1" ht="6" customHeight="1" x14ac:dyDescent="0.25">
      <c r="A9" s="26"/>
      <c r="D9" s="2"/>
      <c r="E9" s="2"/>
      <c r="F9" s="2"/>
      <c r="G9" s="2"/>
      <c r="H9" s="19"/>
      <c r="I9" s="19"/>
      <c r="J9" s="22"/>
      <c r="K9" s="32"/>
      <c r="L9" s="32"/>
      <c r="M9" s="22"/>
      <c r="N9" s="22"/>
      <c r="O9" s="21"/>
      <c r="P9" s="31"/>
      <c r="Q9" s="31"/>
      <c r="R9" s="21"/>
      <c r="S9" s="21"/>
      <c r="T9" s="21"/>
      <c r="U9" s="31"/>
      <c r="V9" s="31"/>
      <c r="W9" s="22"/>
      <c r="X9" s="22"/>
      <c r="Y9" s="7"/>
      <c r="Z9" s="7"/>
      <c r="AA9" s="7"/>
      <c r="AB9" s="20"/>
      <c r="AC9" s="20"/>
      <c r="AD9" s="21"/>
      <c r="AE9" s="31"/>
      <c r="AF9" s="31"/>
      <c r="AG9" s="21"/>
      <c r="AH9" s="21"/>
      <c r="AI9" s="21"/>
      <c r="AJ9" s="31"/>
      <c r="AK9" s="31"/>
      <c r="AL9" s="21"/>
      <c r="AM9" s="21"/>
      <c r="AN9" s="21"/>
      <c r="AO9" s="31"/>
      <c r="AP9" s="31"/>
      <c r="AQ9" s="22"/>
      <c r="AR9" s="22"/>
      <c r="AS9" s="7"/>
      <c r="AT9" s="20"/>
      <c r="AU9" s="20"/>
      <c r="AV9" s="8"/>
      <c r="AW9" s="20"/>
      <c r="AX9" s="20"/>
      <c r="AY9" s="8"/>
      <c r="AZ9" s="19"/>
      <c r="BA9" s="19"/>
      <c r="BB9" s="47"/>
    </row>
    <row r="10" spans="1:54" ht="6" customHeight="1" x14ac:dyDescent="0.25">
      <c r="C10" s="9"/>
      <c r="F10" s="15"/>
      <c r="G10" s="15"/>
      <c r="I10"/>
      <c r="K10" s="15"/>
      <c r="L10" s="15"/>
      <c r="M10" s="15"/>
      <c r="N10" s="15"/>
      <c r="P10" s="15"/>
      <c r="Q10" s="15"/>
      <c r="R10" s="15"/>
      <c r="S10" s="15"/>
      <c r="U10" s="15"/>
      <c r="V10" s="15"/>
      <c r="W10" s="15"/>
      <c r="X10" s="15"/>
      <c r="Z10" s="15"/>
      <c r="AA10" s="15"/>
      <c r="AC10"/>
      <c r="AE10" s="15"/>
      <c r="AF10" s="15"/>
      <c r="AG10" s="15"/>
      <c r="AH10" s="15"/>
      <c r="AJ10" s="15"/>
      <c r="AK10" s="15"/>
      <c r="AL10" s="15"/>
      <c r="AM10" s="15"/>
      <c r="AO10" s="15"/>
      <c r="AP10" s="15"/>
      <c r="AQ10" s="15"/>
      <c r="AR10" s="15"/>
    </row>
    <row r="11" spans="1:54" ht="15" x14ac:dyDescent="0.25">
      <c r="C11" s="9"/>
      <c r="D11" s="6" t="s">
        <v>7</v>
      </c>
      <c r="E11" s="3"/>
      <c r="F11" s="3">
        <v>2014</v>
      </c>
      <c r="G11" s="3">
        <v>2015</v>
      </c>
      <c r="H11" s="3">
        <f>2016</f>
        <v>2016</v>
      </c>
      <c r="I11" s="3">
        <f>2017</f>
        <v>2017</v>
      </c>
      <c r="J11" s="3"/>
      <c r="K11" s="3">
        <v>2014</v>
      </c>
      <c r="L11" s="3">
        <v>2015</v>
      </c>
      <c r="M11" s="3">
        <v>2016</v>
      </c>
      <c r="N11" s="3">
        <v>2017</v>
      </c>
      <c r="O11" s="3"/>
      <c r="P11" s="3">
        <v>2014</v>
      </c>
      <c r="Q11" s="3">
        <v>2015</v>
      </c>
      <c r="R11" s="3">
        <v>2016</v>
      </c>
      <c r="S11" s="3">
        <v>2017</v>
      </c>
      <c r="T11" s="3"/>
      <c r="U11" s="3">
        <v>2014</v>
      </c>
      <c r="V11" s="3">
        <v>2015</v>
      </c>
      <c r="W11" s="3">
        <v>2016</v>
      </c>
      <c r="X11" s="3">
        <v>2017</v>
      </c>
      <c r="Y11" s="3"/>
      <c r="Z11" s="3">
        <v>2014</v>
      </c>
      <c r="AA11" s="3">
        <v>2015</v>
      </c>
      <c r="AB11" s="3">
        <f>2016</f>
        <v>2016</v>
      </c>
      <c r="AC11" s="3">
        <f>2017</f>
        <v>2017</v>
      </c>
      <c r="AD11" s="3"/>
      <c r="AE11" s="3">
        <v>2014</v>
      </c>
      <c r="AF11" s="3">
        <v>2015</v>
      </c>
      <c r="AG11" s="3">
        <v>2016</v>
      </c>
      <c r="AH11" s="3">
        <v>2017</v>
      </c>
      <c r="AI11" s="3"/>
      <c r="AJ11" s="3">
        <v>2014</v>
      </c>
      <c r="AK11" s="3">
        <v>2015</v>
      </c>
      <c r="AL11" s="3">
        <v>2016</v>
      </c>
      <c r="AM11" s="3">
        <v>2017</v>
      </c>
      <c r="AN11" s="3"/>
      <c r="AO11" s="3">
        <v>2014</v>
      </c>
      <c r="AP11" s="3">
        <v>2015</v>
      </c>
      <c r="AQ11" s="3">
        <v>2016</v>
      </c>
      <c r="AR11" s="3">
        <v>2017</v>
      </c>
      <c r="AS11" s="3"/>
      <c r="AT11" s="3">
        <f>2016</f>
        <v>2016</v>
      </c>
      <c r="AU11" s="3">
        <f>2017</f>
        <v>2017</v>
      </c>
      <c r="AV11" s="3"/>
      <c r="AW11" s="3">
        <f>2016</f>
        <v>2016</v>
      </c>
      <c r="AX11" s="3">
        <f>2017</f>
        <v>2017</v>
      </c>
      <c r="AY11" s="3"/>
      <c r="AZ11" s="3">
        <f>2016</f>
        <v>2016</v>
      </c>
      <c r="BA11" s="3">
        <f>2017</f>
        <v>2017</v>
      </c>
      <c r="BB11" s="3"/>
    </row>
    <row r="12" spans="1:54" ht="5.65" customHeight="1" x14ac:dyDescent="0.25">
      <c r="C12" s="4"/>
      <c r="D12" s="4"/>
      <c r="E12" s="4"/>
      <c r="F12" s="4"/>
      <c r="G12" s="4"/>
      <c r="H12" s="4"/>
      <c r="I12" s="4"/>
      <c r="J12" s="5"/>
      <c r="K12" s="5"/>
      <c r="L12" s="5"/>
      <c r="M12" s="4"/>
      <c r="N12" s="4"/>
      <c r="O12" s="5"/>
      <c r="P12" s="5"/>
      <c r="Q12" s="5"/>
      <c r="R12" s="4"/>
      <c r="S12" s="4"/>
      <c r="T12" s="5"/>
      <c r="U12" s="5"/>
      <c r="V12" s="5"/>
      <c r="W12" s="4"/>
      <c r="X12" s="4"/>
      <c r="Y12" s="5"/>
      <c r="Z12" s="5"/>
      <c r="AA12" s="5"/>
      <c r="AB12" s="4"/>
      <c r="AC12" s="4"/>
      <c r="AD12" s="5"/>
      <c r="AE12" s="5"/>
      <c r="AF12" s="5"/>
      <c r="AG12" s="4"/>
      <c r="AH12" s="4"/>
      <c r="AI12" s="5"/>
      <c r="AJ12" s="5"/>
      <c r="AK12" s="5"/>
      <c r="AL12" s="4"/>
      <c r="AM12" s="4"/>
      <c r="AN12" s="5"/>
      <c r="AO12" s="5"/>
      <c r="AP12" s="5"/>
      <c r="AQ12" s="4"/>
      <c r="AR12" s="4"/>
      <c r="AS12" s="5"/>
      <c r="AT12" s="4"/>
      <c r="AU12" s="4"/>
      <c r="AV12" s="5"/>
      <c r="AW12" s="4"/>
      <c r="AX12" s="4"/>
      <c r="AY12" s="5"/>
      <c r="AZ12" s="4"/>
      <c r="BA12" s="4"/>
      <c r="BB12" s="5"/>
    </row>
    <row r="13" spans="1:54" ht="5.65" customHeight="1" x14ac:dyDescent="0.25">
      <c r="C13" s="9"/>
      <c r="H13" s="12"/>
      <c r="I13" s="12"/>
      <c r="J13" s="12"/>
      <c r="K13" s="36"/>
      <c r="L13" s="36"/>
      <c r="M13" s="12"/>
      <c r="N13" s="12"/>
      <c r="O13" s="12"/>
      <c r="P13" s="36"/>
      <c r="Q13" s="36"/>
      <c r="R13" s="17"/>
      <c r="S13" s="17"/>
      <c r="T13" s="12"/>
      <c r="U13" s="36"/>
      <c r="V13" s="36"/>
      <c r="W13" s="16"/>
      <c r="X13" s="16"/>
      <c r="Y13" s="12"/>
      <c r="Z13" s="36"/>
      <c r="AA13" s="36"/>
      <c r="AB13" s="12"/>
      <c r="AC13" s="12"/>
      <c r="AD13" s="12"/>
      <c r="AE13" s="36"/>
      <c r="AF13" s="36"/>
      <c r="AG13" s="12"/>
      <c r="AH13" s="12"/>
      <c r="AI13" s="12"/>
      <c r="AJ13" s="36"/>
      <c r="AK13" s="36"/>
      <c r="AL13" s="17"/>
      <c r="AM13" s="17"/>
      <c r="AN13" s="12"/>
      <c r="AO13" s="36"/>
      <c r="AP13" s="36"/>
      <c r="AQ13" s="16"/>
      <c r="AR13" s="16"/>
      <c r="AS13" s="12"/>
      <c r="AT13" s="12"/>
      <c r="AU13" s="12"/>
      <c r="AV13" s="12"/>
      <c r="AW13" s="12"/>
      <c r="AX13" s="12"/>
      <c r="AZ13" s="11"/>
      <c r="BA13" s="11"/>
      <c r="BB13" s="11"/>
    </row>
    <row r="14" spans="1:54" ht="15" x14ac:dyDescent="0.25">
      <c r="A14" s="26">
        <v>65</v>
      </c>
      <c r="C14" s="9" t="str">
        <f>IF(ISBLANK(D14),"","["&amp;CHAR(A14)&amp;"]")</f>
        <v>[A]</v>
      </c>
      <c r="D14" t="s">
        <v>0</v>
      </c>
      <c r="F14" s="196"/>
      <c r="G14" s="196"/>
      <c r="H14" s="196"/>
      <c r="I14" s="196"/>
      <c r="J14" s="147"/>
      <c r="K14" s="147"/>
      <c r="L14" s="147"/>
      <c r="M14" s="147"/>
      <c r="N14" s="147"/>
      <c r="O14" s="147"/>
      <c r="P14" s="49"/>
      <c r="Q14" s="49"/>
      <c r="R14" s="49"/>
      <c r="S14" s="49"/>
      <c r="T14" s="147"/>
      <c r="U14" s="128"/>
      <c r="V14" s="128"/>
      <c r="W14" s="128"/>
      <c r="X14" s="128"/>
      <c r="Y14" s="147"/>
      <c r="Z14" s="147"/>
      <c r="AA14" s="147"/>
      <c r="AB14" s="147"/>
      <c r="AC14" s="147"/>
      <c r="AD14" s="147"/>
      <c r="AE14" s="147"/>
      <c r="AF14" s="147"/>
      <c r="AG14" s="147"/>
      <c r="AH14" s="147"/>
      <c r="AI14" s="147"/>
      <c r="AJ14" s="49"/>
      <c r="AK14" s="49"/>
      <c r="AL14" s="49"/>
      <c r="AM14" s="49"/>
      <c r="AN14" s="147"/>
      <c r="AO14" s="128">
        <f>'Verizon Annual Reports'!D8/'Verizon Annual Reports'!D9</f>
        <v>55.700348432055755</v>
      </c>
      <c r="AP14" s="128">
        <f>'Verizon Annual Reports'!E8/'Verizon Annual Reports'!E9</f>
        <v>51.218120805369125</v>
      </c>
      <c r="AQ14" s="128">
        <f>'Verizon Annual Reports'!F8/'Verizon Annual Reports'!F9</f>
        <v>47.009771986970684</v>
      </c>
      <c r="AR14" s="128">
        <f>'Verizon Annual Reports'!G8/'Verizon Annual Reports'!G9</f>
        <v>43.447284345047926</v>
      </c>
      <c r="AS14" s="99"/>
      <c r="AT14" s="98"/>
      <c r="AU14" s="98"/>
      <c r="AV14" s="99"/>
      <c r="AW14" s="99"/>
      <c r="AX14" s="99"/>
      <c r="AY14" s="98"/>
      <c r="AZ14" s="103"/>
      <c r="BA14" s="103"/>
      <c r="BB14" s="103"/>
    </row>
    <row r="15" spans="1:54" ht="15" x14ac:dyDescent="0.25">
      <c r="A15" s="26">
        <f>MAX($A$14:A14)+1</f>
        <v>66</v>
      </c>
      <c r="C15" s="9" t="str">
        <f t="shared" ref="C15:C18" si="1">IF(ISBLANK(D15),"","["&amp;CHAR(A15)&amp;"]")</f>
        <v>[B]</v>
      </c>
      <c r="D15" t="s">
        <v>1</v>
      </c>
      <c r="F15" s="147"/>
      <c r="G15" s="147"/>
      <c r="H15" s="147"/>
      <c r="I15" s="147"/>
      <c r="J15" s="147"/>
      <c r="K15" s="147"/>
      <c r="L15" s="147"/>
      <c r="M15" s="147"/>
      <c r="N15" s="147"/>
      <c r="O15" s="147"/>
      <c r="P15" s="49"/>
      <c r="Q15" s="49"/>
      <c r="R15" s="49"/>
      <c r="S15" s="49"/>
      <c r="T15" s="147"/>
      <c r="U15" s="128"/>
      <c r="V15" s="128"/>
      <c r="W15" s="128"/>
      <c r="X15" s="128"/>
      <c r="Y15" s="147"/>
      <c r="Z15" s="147"/>
      <c r="AA15" s="147"/>
      <c r="AB15" s="147"/>
      <c r="AC15" s="147"/>
      <c r="AD15" s="147"/>
      <c r="AE15" s="147"/>
      <c r="AF15" s="147"/>
      <c r="AG15" s="147"/>
      <c r="AH15" s="147"/>
      <c r="AI15" s="147"/>
      <c r="AJ15" s="49"/>
      <c r="AK15" s="49"/>
      <c r="AL15" s="49"/>
      <c r="AM15" s="49"/>
      <c r="AN15" s="147"/>
      <c r="AO15" s="128">
        <f>'AT&amp;T Annual Reports'!G22</f>
        <v>60.59577447755094</v>
      </c>
      <c r="AP15" s="128">
        <f>'AT&amp;T Annual Reports'!K22</f>
        <v>56.877476867259176</v>
      </c>
      <c r="AQ15" s="128">
        <f>'AT&amp;T Annual Reports'!O22</f>
        <v>54.570733453056164</v>
      </c>
      <c r="AR15" s="128">
        <f>'AT&amp;T Annual Reports'!S22</f>
        <v>52.506262966068896</v>
      </c>
      <c r="AS15" s="129" t="e">
        <f>INDEX('AT&amp;T Annual Reports'!$D$8:$H$11,MATCH(Retail!$AO$5,'AT&amp;T Annual Reports'!$B$8:$B$11,0),MATCH(Retail!AS11,'AT&amp;T Annual Reports'!$E$32:$I$32,0))</f>
        <v>#N/A</v>
      </c>
      <c r="AT15" s="129" t="e">
        <f>INDEX('AT&amp;T Annual Reports'!$D$8:$H$11,MATCH(Retail!$AO$5,'AT&amp;T Annual Reports'!$B$8:$B$11,0),MATCH(Retail!AT11,'AT&amp;T Annual Reports'!$E$32:$I$32,0))</f>
        <v>#N/A</v>
      </c>
      <c r="AU15" s="129" t="e">
        <f>INDEX('AT&amp;T Annual Reports'!$D$8:$H$11,MATCH(Retail!$AO$5,'AT&amp;T Annual Reports'!$B$8:$B$11,0),MATCH(Retail!AU11,'AT&amp;T Annual Reports'!$E$32:$I$32,0))</f>
        <v>#N/A</v>
      </c>
      <c r="AV15" s="129" t="e">
        <f>INDEX('AT&amp;T Annual Reports'!$D$8:$H$11,MATCH(Retail!$AO$5,'AT&amp;T Annual Reports'!$B$8:$B$11,0),MATCH(Retail!AV11,'AT&amp;T Annual Reports'!$E$32:$I$32,0))</f>
        <v>#N/A</v>
      </c>
      <c r="AW15" s="129" t="e">
        <f>INDEX('AT&amp;T Annual Reports'!$D$8:$H$11,MATCH(Retail!$AO$5,'AT&amp;T Annual Reports'!$B$8:$B$11,0),MATCH(Retail!AW11,'AT&amp;T Annual Reports'!$E$32:$I$32,0))</f>
        <v>#N/A</v>
      </c>
      <c r="AX15" s="129" t="e">
        <f>INDEX('AT&amp;T Annual Reports'!$D$8:$H$11,MATCH(Retail!$AO$5,'AT&amp;T Annual Reports'!$B$8:$B$11,0),MATCH(Retail!AX11,'AT&amp;T Annual Reports'!$E$32:$I$32,0))</f>
        <v>#N/A</v>
      </c>
      <c r="AY15" s="129" t="e">
        <f>INDEX('AT&amp;T Annual Reports'!$D$8:$H$11,MATCH(Retail!$AO$5,'AT&amp;T Annual Reports'!$B$8:$B$11,0),MATCH(Retail!AY11,'AT&amp;T Annual Reports'!$E$32:$I$32,0))</f>
        <v>#N/A</v>
      </c>
      <c r="AZ15" s="129" t="e">
        <f>INDEX('AT&amp;T Annual Reports'!$D$8:$H$11,MATCH(Retail!$AO$5,'AT&amp;T Annual Reports'!$B$8:$B$11,0),MATCH(Retail!AZ11,'AT&amp;T Annual Reports'!$E$32:$I$32,0))</f>
        <v>#N/A</v>
      </c>
      <c r="BA15" s="129" t="e">
        <f>INDEX('AT&amp;T Annual Reports'!$D$8:$H$11,MATCH(Retail!$AO$5,'AT&amp;T Annual Reports'!$B$8:$B$11,0),MATCH(Retail!BA11,'AT&amp;T Annual Reports'!$E$32:$I$32,0))</f>
        <v>#N/A</v>
      </c>
      <c r="BB15" s="128"/>
    </row>
    <row r="16" spans="1:54" ht="15" x14ac:dyDescent="0.25">
      <c r="A16" s="26">
        <f>MAX($A$14:A15)+1</f>
        <v>67</v>
      </c>
      <c r="C16" s="9" t="str">
        <f t="shared" si="1"/>
        <v>[C]</v>
      </c>
      <c r="D16" t="s">
        <v>2</v>
      </c>
      <c r="F16" s="147"/>
      <c r="G16" s="147"/>
      <c r="H16" s="147"/>
      <c r="I16" s="147"/>
      <c r="J16" s="147"/>
      <c r="K16" s="147"/>
      <c r="L16" s="147"/>
      <c r="M16" s="147"/>
      <c r="N16" s="147"/>
      <c r="O16" s="147"/>
      <c r="P16" s="50"/>
      <c r="Q16" s="50"/>
      <c r="R16" s="50"/>
      <c r="S16" s="50"/>
      <c r="T16" s="50"/>
      <c r="U16" s="102"/>
      <c r="V16" s="102">
        <v>33.39</v>
      </c>
      <c r="W16" s="102">
        <v>34.46</v>
      </c>
      <c r="X16" s="102">
        <v>37.67</v>
      </c>
      <c r="Y16" s="102"/>
      <c r="Z16" s="147"/>
      <c r="AA16" s="147"/>
      <c r="AB16" s="147"/>
      <c r="AC16" s="147"/>
      <c r="AD16" s="147"/>
      <c r="AE16" s="147"/>
      <c r="AF16" s="147"/>
      <c r="AG16" s="147"/>
      <c r="AH16" s="147"/>
      <c r="AI16" s="147"/>
      <c r="AJ16" s="49"/>
      <c r="AK16" s="49"/>
      <c r="AL16" s="49"/>
      <c r="AM16" s="49"/>
      <c r="AN16" s="49"/>
      <c r="AO16" s="128">
        <f>INDEX('Sprint Q4 10-Qs'!$E$8:$H$8,MATCH(Retail!$AO$5,'Sprint Q4 10-Qs'!$B$8:$B$8,0),MATCH(Retail!AO11,'Sprint Q4 10-Qs'!$E$5:$H$5,0))</f>
        <v>60.18</v>
      </c>
      <c r="AP16" s="128">
        <f>INDEX('Sprint Q4 10-Qs'!$E$8:$H$8,MATCH(Retail!$AO$5,'Sprint Q4 10-Qs'!$B$8:$B$8,0),MATCH(Retail!AP11,'Sprint Q4 10-Qs'!$E$5:$H$5,0))</f>
        <v>53.86</v>
      </c>
      <c r="AQ16" s="128">
        <f>INDEX('Sprint Q4 10-Qs'!$E$8:$H$8,MATCH(Retail!$AO$5,'Sprint Q4 10-Qs'!$B$8:$B$8,0),MATCH(Retail!AQ11,'Sprint Q4 10-Qs'!$E$5:$H$5,0))</f>
        <v>50.59</v>
      </c>
      <c r="AR16" s="128">
        <f>INDEX('Sprint Q4 10-Qs'!$E$8:$H$8,MATCH(Retail!$AO$5,'Sprint Q4 10-Qs'!$B$8:$B$8,0),MATCH(Retail!AR11,'Sprint Q4 10-Qs'!$E$5:$H$5,0))</f>
        <v>46.14</v>
      </c>
      <c r="AS16" s="129" t="e">
        <f>INDEX('Sprint Q4 10-Qs'!$E$8:$H$8,MATCH(Retail!$AO$5,'Sprint Q4 10-Qs'!$B$8:$B$8,0),MATCH(Retail!AS11,'Sprint Q4 10-Qs'!$E$5:$H$5,0))</f>
        <v>#N/A</v>
      </c>
      <c r="AT16" s="129">
        <f>INDEX('Sprint Q4 10-Qs'!$E$8:$H$8,MATCH(Retail!$AO$5,'Sprint Q4 10-Qs'!$B$8:$B$8,0),MATCH(Retail!AT11,'Sprint Q4 10-Qs'!$E$5:$H$5,0))</f>
        <v>50.59</v>
      </c>
      <c r="AU16" s="129">
        <f>INDEX('Sprint Q4 10-Qs'!$E$8:$H$8,MATCH(Retail!$AO$5,'Sprint Q4 10-Qs'!$B$8:$B$8,0),MATCH(Retail!AU11,'Sprint Q4 10-Qs'!$E$5:$H$5,0))</f>
        <v>46.14</v>
      </c>
      <c r="AV16" s="129" t="e">
        <f>INDEX('Sprint Q4 10-Qs'!$E$8:$H$8,MATCH(Retail!$AO$5,'Sprint Q4 10-Qs'!$B$8:$B$8,0),MATCH(Retail!AV11,'Sprint Q4 10-Qs'!$E$5:$H$5,0))</f>
        <v>#N/A</v>
      </c>
      <c r="AW16" s="129">
        <f>INDEX('Sprint Q4 10-Qs'!$E$8:$H$8,MATCH(Retail!$AO$5,'Sprint Q4 10-Qs'!$B$8:$B$8,0),MATCH(Retail!AW11,'Sprint Q4 10-Qs'!$E$5:$H$5,0))</f>
        <v>50.59</v>
      </c>
      <c r="AX16" s="129">
        <f>INDEX('Sprint Q4 10-Qs'!$E$8:$H$8,MATCH(Retail!$AO$5,'Sprint Q4 10-Qs'!$B$8:$B$8,0),MATCH(Retail!AX11,'Sprint Q4 10-Qs'!$E$5:$H$5,0))</f>
        <v>46.14</v>
      </c>
      <c r="AY16" s="129" t="e">
        <f>INDEX('Sprint Q4 10-Qs'!$E$8:$H$8,MATCH(Retail!$AO$5,'Sprint Q4 10-Qs'!$B$8:$B$8,0),MATCH(Retail!AY11,'Sprint Q4 10-Qs'!$E$5:$H$5,0))</f>
        <v>#N/A</v>
      </c>
      <c r="AZ16" s="129">
        <f>INDEX('Sprint Q4 10-Qs'!$E$8:$H$8,MATCH(Retail!$AO$5,'Sprint Q4 10-Qs'!$B$8:$B$8,0),MATCH(Retail!AZ11,'Sprint Q4 10-Qs'!$E$5:$H$5,0))</f>
        <v>50.59</v>
      </c>
      <c r="BA16" s="129">
        <f>INDEX('Sprint Q4 10-Qs'!$E$8:$H$8,MATCH(Retail!$AO$5,'Sprint Q4 10-Qs'!$B$8:$B$8,0),MATCH(Retail!BA11,'Sprint Q4 10-Qs'!$E$5:$H$5,0))</f>
        <v>46.14</v>
      </c>
      <c r="BB16" s="128"/>
    </row>
    <row r="17" spans="1:54" ht="15" x14ac:dyDescent="0.25">
      <c r="A17" s="26">
        <f>MAX($A$14:A16)+1</f>
        <v>68</v>
      </c>
      <c r="C17" s="9" t="str">
        <f t="shared" si="1"/>
        <v>[D]</v>
      </c>
      <c r="D17" t="s">
        <v>3</v>
      </c>
      <c r="F17" s="147"/>
      <c r="G17" s="147"/>
      <c r="H17" s="147"/>
      <c r="I17" s="147"/>
      <c r="J17" s="147"/>
      <c r="K17" s="147">
        <f>INDEX('TMobile Annual Reports'!$C$8:$G$12,MATCH(Retail!$K$5,'TMobile Annual Reports'!$A$8:$A$12,0),MATCH(Retail!K11,'TMobile Annual Reports'!$C$5:$G$5,0))</f>
        <v>15691000</v>
      </c>
      <c r="L17" s="147">
        <f>INDEX('TMobile Annual Reports'!$C$8:$G$12,MATCH(Retail!$K$5,'TMobile Annual Reports'!$A$8:$A$12,0),MATCH(Retail!L11,'TMobile Annual Reports'!$C$5:$G$5,0))</f>
        <v>16704000</v>
      </c>
      <c r="M17" s="147">
        <f>INDEX('TMobile Annual Reports'!$C$8:$G$12,MATCH(Retail!$K$5,'TMobile Annual Reports'!$A$8:$A$12,0),MATCH(Retail!M11,'TMobile Annual Reports'!$C$5:$G$5,0))</f>
        <v>18797000</v>
      </c>
      <c r="N17" s="147">
        <f>INDEX('TMobile Annual Reports'!$C$8:$G$12,MATCH(Retail!$K$5,'TMobile Annual Reports'!$A$8:$A$12,0),MATCH(Retail!N11,'TMobile Annual Reports'!$C$5:$G$5,0))</f>
        <v>20204000</v>
      </c>
      <c r="O17" s="147"/>
      <c r="P17" s="49">
        <f>INDEX('TMobile Annual Reports'!$C$8:$G$12,MATCH(Retail!$P$5,'TMobile Annual Reports'!$A$8:$A$12,0),MATCH(Retail!P11,'TMobile Annual Reports'!$C$5:$G$5,0))</f>
        <v>6986000000</v>
      </c>
      <c r="Q17" s="49">
        <f>INDEX('TMobile Annual Reports'!$C$8:$G$12,MATCH(Retail!$P$5,'TMobile Annual Reports'!$A$8:$A$12,0),MATCH(Retail!Q11,'TMobile Annual Reports'!$C$5:$G$5,0))</f>
        <v>7553000000</v>
      </c>
      <c r="R17" s="49">
        <f>INDEX('TMobile Annual Reports'!$C$8:$G$12,MATCH(Retail!$P$5,'TMobile Annual Reports'!$A$8:$A$12,0),MATCH(Retail!R11,'TMobile Annual Reports'!$C$5:$G$5,0))</f>
        <v>8553000000</v>
      </c>
      <c r="S17" s="49">
        <f>INDEX('TMobile Annual Reports'!$C$8:$G$12,MATCH(Retail!$P$5,'TMobile Annual Reports'!$A$8:$A$12,0),MATCH(Retail!S11,'TMobile Annual Reports'!$C$5:$G$5,0))</f>
        <v>9380000000</v>
      </c>
      <c r="T17" s="147"/>
      <c r="U17" s="128">
        <f>P17/K17/12</f>
        <v>37.101948038153502</v>
      </c>
      <c r="V17" s="128">
        <f>Q17/L17/12</f>
        <v>37.680595466155815</v>
      </c>
      <c r="W17" s="128">
        <f>R17/M17/12</f>
        <v>37.918284832686062</v>
      </c>
      <c r="X17" s="128">
        <f>S17/N17/12</f>
        <v>38.688708506566357</v>
      </c>
      <c r="Y17" s="147"/>
      <c r="Z17" s="147"/>
      <c r="AA17" s="147"/>
      <c r="AB17" s="147"/>
      <c r="AC17" s="147"/>
      <c r="AD17" s="147"/>
      <c r="AE17" s="147">
        <f>INDEX('TMobile Annual Reports'!$C$8:$G$12,MATCH(Retail!$AE$5,'TMobile Annual Reports'!$A$8:$A$12,0),MATCH(Retail!AE11,'TMobile Annual Reports'!$C$5:$G$5,0))</f>
        <v>23817000</v>
      </c>
      <c r="AF17" s="147">
        <f>INDEX('TMobile Annual Reports'!$C$8:$G$12,MATCH(Retail!$AE$5,'TMobile Annual Reports'!$A$8:$A$12,0),MATCH(Retail!AF11,'TMobile Annual Reports'!$C$5:$G$5,0))</f>
        <v>27604000</v>
      </c>
      <c r="AG17" s="147">
        <f>INDEX('TMobile Annual Reports'!$C$8:$G$12,MATCH(Retail!$AE$5,'TMobile Annual Reports'!$A$8:$A$12,0),MATCH(Retail!AG11,'TMobile Annual Reports'!$C$5:$G$5,0))</f>
        <v>30484000</v>
      </c>
      <c r="AH17" s="147">
        <f>INDEX('TMobile Annual Reports'!$C$8:$G$12,MATCH(Retail!$AE$5,'TMobile Annual Reports'!$A$8:$A$12,0),MATCH(Retail!AH11,'TMobile Annual Reports'!$C$5:$G$5,0))</f>
        <v>32596000</v>
      </c>
      <c r="AI17" s="147"/>
      <c r="AJ17" s="197">
        <f>INDEX('TMobile Annual Reports'!$C$8:$G$12,MATCH(Retail!$AJ$5,'TMobile Annual Reports'!$A$8:$A$12,0),MATCH(Retail!AJ11,'TMobile Annual Reports'!$C$5:$G$5,0))</f>
        <v>14131000000</v>
      </c>
      <c r="AK17" s="197">
        <f>INDEX('TMobile Annual Reports'!$C$8:$G$12,MATCH(Retail!$AJ$5,'TMobile Annual Reports'!$A$8:$A$12,0),MATCH(Retail!AK11,'TMobile Annual Reports'!$C$5:$G$5,0))</f>
        <v>15795000000</v>
      </c>
      <c r="AL17" s="197">
        <f>INDEX('TMobile Annual Reports'!$C$8:$G$12,MATCH(Retail!$AJ$5,'TMobile Annual Reports'!$A$8:$A$12,0),MATCH(Retail!AL11,'TMobile Annual Reports'!$C$5:$G$5,0))</f>
        <v>17365000000</v>
      </c>
      <c r="AM17" s="197">
        <f>INDEX('TMobile Annual Reports'!$C$8:$G$12,MATCH(Retail!$AJ$5,'TMobile Annual Reports'!$A$8:$A$12,0),MATCH(Retail!AM11,'TMobile Annual Reports'!$C$5:$G$5,0))</f>
        <v>18371000000</v>
      </c>
      <c r="AN17" s="147"/>
      <c r="AO17" s="128">
        <f>AJ17/AE17/12</f>
        <v>49.442974905879559</v>
      </c>
      <c r="AP17" s="128">
        <f>AK17/AF17/12</f>
        <v>47.6833067671352</v>
      </c>
      <c r="AQ17" s="128">
        <f>AL17/AG17/12</f>
        <v>47.4702576214845</v>
      </c>
      <c r="AR17" s="128">
        <f>AM17/AH17/12</f>
        <v>46.966396694890989</v>
      </c>
      <c r="AS17" s="99"/>
      <c r="AT17" s="99">
        <v>17215000</v>
      </c>
      <c r="AU17" s="99">
        <v>13870000</v>
      </c>
      <c r="AV17" s="99"/>
      <c r="AW17" s="99">
        <v>903000000</v>
      </c>
      <c r="AX17" s="99">
        <v>1102000000</v>
      </c>
      <c r="AY17" s="98"/>
      <c r="AZ17" s="104">
        <f>(AW17/AT17)/12</f>
        <v>4.3711879175137964</v>
      </c>
      <c r="BA17" s="104">
        <f>(AX17/AU17)/12</f>
        <v>6.6210045662100461</v>
      </c>
      <c r="BB17" s="103"/>
    </row>
    <row r="18" spans="1:54" ht="15" x14ac:dyDescent="0.25">
      <c r="A18" s="26">
        <f>MAX($A$14:A17)+1</f>
        <v>69</v>
      </c>
      <c r="C18" s="9" t="str">
        <f t="shared" si="1"/>
        <v>[E]</v>
      </c>
      <c r="D18" t="s">
        <v>4</v>
      </c>
      <c r="F18" s="147">
        <f>INDEX('US Cellular Q4 Annual Reports'!$D$8:$H$9,MATCH(Retail!$F$5,'US Cellular Q4 Annual Reports'!$B$8:$B$9,0),MATCH(Retail!F11,'US Cellular Q4 Annual Reports'!$D$5:$H$5,0))</f>
        <v>348000</v>
      </c>
      <c r="G18" s="147">
        <f>INDEX('US Cellular Q4 Annual Reports'!$D$8:$H$9,MATCH(Retail!$F$5,'US Cellular Q4 Annual Reports'!$B$8:$B$9,0),MATCH(Retail!G11,'US Cellular Q4 Annual Reports'!$D$5:$H$5,0))</f>
        <v>387000</v>
      </c>
      <c r="H18" s="147">
        <f>INDEX('US Cellular Q4 Annual Reports'!$D$8:$H$9,MATCH(Retail!$F$5,'US Cellular Q4 Annual Reports'!$B$8:$B$9,0),MATCH(Retail!H11,'US Cellular Q4 Annual Reports'!$D$5:$H$5,0))</f>
        <v>484000</v>
      </c>
      <c r="I18" s="147">
        <f>INDEX('US Cellular Q4 Annual Reports'!$D$8:$H$9,MATCH(Retail!$F$5,'US Cellular Q4 Annual Reports'!$B$8:$B$9,0),MATCH(Retail!I11,'US Cellular Q4 Annual Reports'!$D$5:$H$5,0))</f>
        <v>519000</v>
      </c>
      <c r="J18" s="147"/>
      <c r="K18" s="147"/>
      <c r="L18" s="147"/>
      <c r="M18" s="147"/>
      <c r="N18" s="147"/>
      <c r="O18" s="147"/>
      <c r="P18" s="49"/>
      <c r="Q18" s="49"/>
      <c r="R18" s="49"/>
      <c r="S18" s="49"/>
      <c r="T18" s="147"/>
      <c r="U18" s="128">
        <f>'US Cellular Prepaid ARPU Calc'!D11</f>
        <v>33.983072546230439</v>
      </c>
      <c r="V18" s="128">
        <f>'US Cellular Prepaid ARPU Calc'!I11</f>
        <v>35.717070234113713</v>
      </c>
      <c r="W18" s="128">
        <f>'US Cellular Prepaid ARPU Calc'!$N$11</f>
        <v>34.375129504504507</v>
      </c>
      <c r="X18" s="128">
        <f>'US Cellular Prepaid ARPU Calc'!$S$11</f>
        <v>33.164794794794794</v>
      </c>
      <c r="Y18" s="147"/>
      <c r="Z18" s="147">
        <f>INDEX('US Cellular Q4 Annual Reports'!$D$8:$H$9,MATCH(Retail!$Z$5,'US Cellular Q4 Annual Reports'!$B$8:$B$9,0),MATCH(Retail!Z11,'US Cellular Q4 Annual Reports'!$D$5:$H$5,0))</f>
        <v>4298000</v>
      </c>
      <c r="AA18" s="147">
        <f>INDEX('US Cellular Q4 Annual Reports'!$D$8:$H$9,MATCH(Retail!$Z$5,'US Cellular Q4 Annual Reports'!$B$8:$B$9,0),MATCH(Retail!AA11,'US Cellular Q4 Annual Reports'!$D$5:$H$5,0))</f>
        <v>4409000</v>
      </c>
      <c r="AB18" s="147">
        <f>INDEX('US Cellular Q4 Annual Reports'!$D$8:$H$9,MATCH(Retail!$Z$5,'US Cellular Q4 Annual Reports'!$B$8:$B$9,0),MATCH(Retail!AB11,'US Cellular Q4 Annual Reports'!$D$5:$H$5,0))</f>
        <v>4482000</v>
      </c>
      <c r="AC18" s="147">
        <f>INDEX('US Cellular Q4 Annual Reports'!$D$8:$H$9,MATCH(Retail!$Z$5,'US Cellular Q4 Annual Reports'!$B$8:$B$9,0),MATCH(Retail!AC11,'US Cellular Q4 Annual Reports'!$D$5:$H$5,0))</f>
        <v>4518000</v>
      </c>
      <c r="AD18" s="147"/>
      <c r="AE18" s="147"/>
      <c r="AF18" s="147"/>
      <c r="AG18" s="147"/>
      <c r="AH18" s="147"/>
      <c r="AI18" s="147"/>
      <c r="AJ18" s="49"/>
      <c r="AK18" s="49"/>
      <c r="AL18" s="49"/>
      <c r="AM18" s="49"/>
      <c r="AN18" s="147"/>
      <c r="AO18" s="128">
        <f>'US Cellular Q4 Annual Reports'!E10</f>
        <v>56.75</v>
      </c>
      <c r="AP18" s="128">
        <f>'US Cellular Q4 Annual Reports'!F10</f>
        <v>54.5</v>
      </c>
      <c r="AQ18" s="128">
        <f>'US Cellular Q4 Annual Reports'!G10</f>
        <v>46.96</v>
      </c>
      <c r="AR18" s="128">
        <f>'US Cellular Q4 Annual Reports'!H10</f>
        <v>44.38</v>
      </c>
      <c r="AS18" s="99"/>
      <c r="AT18" s="101">
        <f>5031000-AB18-H18</f>
        <v>65000</v>
      </c>
      <c r="AU18" s="101">
        <f>5096000-AC18-I18</f>
        <v>59000</v>
      </c>
      <c r="AV18" s="99"/>
      <c r="AW18" s="99"/>
      <c r="AX18" s="99"/>
      <c r="AY18" s="98"/>
      <c r="AZ18" s="103"/>
      <c r="BA18" s="103"/>
      <c r="BB18" s="103"/>
    </row>
    <row r="19" spans="1:54" s="9" customFormat="1" ht="15" x14ac:dyDescent="0.25">
      <c r="A19" s="26"/>
      <c r="C19" s="9" t="s">
        <v>43</v>
      </c>
      <c r="D19" s="9" t="s">
        <v>53</v>
      </c>
      <c r="F19" s="147">
        <f>INDEX('Tracfone Q4 Financial Reports'!$C$8:$G$9,MATCH(Retail!$F$5,'Tracfone Q4 Financial Reports'!$A$8:$A$9,0),MATCH(Retail!F11,'Tracfone Q4 Financial Reports'!$C$5:$G$5,0))</f>
        <v>26006000</v>
      </c>
      <c r="G19" s="147">
        <f>INDEX('Tracfone Q4 Financial Reports'!$C$8:$G$9,MATCH(Retail!$F$5,'Tracfone Q4 Financial Reports'!$A$8:$A$9,0),MATCH(Retail!G11,'Tracfone Q4 Financial Reports'!$C$5:$G$5,0))</f>
        <v>25668000</v>
      </c>
      <c r="H19" s="147">
        <f>INDEX('Tracfone Q4 Financial Reports'!$C$8:$G$9,MATCH(Retail!$F$5,'Tracfone Q4 Financial Reports'!$A$8:$A$9,0),MATCH(Retail!H11,'Tracfone Q4 Financial Reports'!$C$5:$G$5,0))</f>
        <v>26070000</v>
      </c>
      <c r="I19" s="147">
        <f>INDEX('Tracfone Q4 Financial Reports'!$C$8:$G$9,MATCH(Retail!$F$5,'Tracfone Q4 Financial Reports'!$A$8:$A$9,0),MATCH(Retail!I11,'Tracfone Q4 Financial Reports'!$C$5:$G$5,0))</f>
        <v>23132000</v>
      </c>
      <c r="J19" s="147"/>
      <c r="K19" s="147">
        <f>(F19+'Tracfone Q4 Financial Reports'!C8)/2</f>
        <v>24832500</v>
      </c>
      <c r="L19" s="147">
        <f>(G19+F19)/2</f>
        <v>25837000</v>
      </c>
      <c r="M19" s="147">
        <f t="shared" ref="M19:N19" si="2">(H19+G19)/2</f>
        <v>25869000</v>
      </c>
      <c r="N19" s="147">
        <f t="shared" si="2"/>
        <v>24601000</v>
      </c>
      <c r="O19" s="147"/>
      <c r="P19" s="49">
        <f>INDEX('Tracfone Q4 Financial Reports'!$C$8:$G$9,MATCH(Retail!$P$5,'Tracfone Q4 Financial Reports'!$A$8:$A$9,0),MATCH(Retail!P11,'Tracfone Q4 Financial Reports'!$C$5:$G$5,0))</f>
        <v>6153000000</v>
      </c>
      <c r="Q19" s="49">
        <f>INDEX('Tracfone Q4 Financial Reports'!$C$8:$G$9,MATCH(Retail!$P$5,'Tracfone Q4 Financial Reports'!$A$8:$A$9,0),MATCH(Retail!Q11,'Tracfone Q4 Financial Reports'!$C$5:$G$5,0))</f>
        <v>6280000000</v>
      </c>
      <c r="R19" s="49">
        <f>INDEX('Tracfone Q4 Financial Reports'!$C$8:$G$9,MATCH(Retail!$P$5,'Tracfone Q4 Financial Reports'!$A$8:$A$9,0),MATCH(Retail!R11,'Tracfone Q4 Financial Reports'!$C$5:$G$5,0))</f>
        <v>6593000000</v>
      </c>
      <c r="S19" s="49">
        <f>INDEX('Tracfone Q4 Financial Reports'!$C$8:$G$9,MATCH(Retail!$P$5,'Tracfone Q4 Financial Reports'!$A$8:$A$9,0),MATCH(Retail!S11,'Tracfone Q4 Financial Reports'!$C$5:$G$5,0))</f>
        <v>6740000000</v>
      </c>
      <c r="T19" s="147"/>
      <c r="U19" s="128">
        <f>P19/K19/12</f>
        <v>20.648343904157858</v>
      </c>
      <c r="V19" s="128">
        <f t="shared" ref="V19:X19" si="3">Q19/L19/12</f>
        <v>20.255189585994245</v>
      </c>
      <c r="W19" s="128">
        <f t="shared" si="3"/>
        <v>21.238419214761553</v>
      </c>
      <c r="X19" s="128">
        <f t="shared" si="3"/>
        <v>22.831050228310502</v>
      </c>
      <c r="Y19" s="147"/>
      <c r="Z19" s="147"/>
      <c r="AA19" s="147"/>
      <c r="AB19" s="147"/>
      <c r="AC19" s="147"/>
      <c r="AD19" s="147"/>
      <c r="AE19" s="147"/>
      <c r="AF19" s="147"/>
      <c r="AG19" s="147"/>
      <c r="AH19" s="147"/>
      <c r="AI19" s="147"/>
      <c r="AJ19" s="49"/>
      <c r="AK19" s="49"/>
      <c r="AL19" s="49"/>
      <c r="AM19" s="49"/>
      <c r="AN19" s="147"/>
      <c r="AO19" s="128"/>
      <c r="AP19" s="128"/>
      <c r="AQ19" s="128"/>
      <c r="AR19" s="128"/>
      <c r="AS19" s="99"/>
      <c r="AT19" s="99"/>
      <c r="AU19" s="99"/>
      <c r="AV19" s="99"/>
      <c r="AW19" s="99"/>
      <c r="AX19" s="99"/>
      <c r="AY19" s="98"/>
      <c r="AZ19" s="103"/>
      <c r="BA19" s="103"/>
      <c r="BB19" s="103"/>
    </row>
    <row r="20" spans="1:54" ht="6" customHeight="1" thickBot="1" x14ac:dyDescent="0.3">
      <c r="C20" s="1"/>
      <c r="D20" s="1"/>
      <c r="E20" s="1"/>
      <c r="F20" s="111"/>
      <c r="G20" s="111"/>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11"/>
      <c r="AZ20" s="111"/>
      <c r="BA20" s="111"/>
      <c r="BB20" s="111"/>
    </row>
    <row r="21" spans="1:54" ht="6" customHeight="1" thickTop="1" x14ac:dyDescent="0.25">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row>
    <row r="22" spans="1:54" ht="15" x14ac:dyDescent="0.25">
      <c r="B22" s="9"/>
      <c r="C22" t="s">
        <v>19</v>
      </c>
      <c r="I22"/>
      <c r="X22" s="9"/>
      <c r="AC22"/>
      <c r="AL22" s="13"/>
      <c r="AR22" s="9"/>
    </row>
    <row r="23" spans="1:54" s="9" customFormat="1" ht="15" x14ac:dyDescent="0.25">
      <c r="A23" s="26"/>
      <c r="D23" t="s">
        <v>9</v>
      </c>
    </row>
    <row r="24" spans="1:54" s="69" customFormat="1" ht="15" x14ac:dyDescent="0.25">
      <c r="A24" s="81"/>
      <c r="C24" s="69" t="str">
        <f>C14</f>
        <v>[A]</v>
      </c>
    </row>
    <row r="25" spans="1:54" s="9" customFormat="1" ht="15" x14ac:dyDescent="0.25">
      <c r="A25" s="26"/>
      <c r="C25" s="9" t="str">
        <f>C14&amp;AO8</f>
        <v>[A][8]</v>
      </c>
      <c r="D25" s="82" t="s">
        <v>54</v>
      </c>
    </row>
    <row r="26" spans="1:54" ht="15" x14ac:dyDescent="0.25">
      <c r="D26" s="34" t="s">
        <v>147</v>
      </c>
    </row>
    <row r="27" spans="1:54" s="9" customFormat="1" ht="15" x14ac:dyDescent="0.25">
      <c r="A27" s="26"/>
      <c r="D27" s="14"/>
    </row>
    <row r="28" spans="1:54" s="69" customFormat="1" ht="15" x14ac:dyDescent="0.25">
      <c r="A28" s="81"/>
      <c r="C28" s="69" t="str">
        <f>C15</f>
        <v>[B]</v>
      </c>
      <c r="D28" s="14"/>
    </row>
    <row r="29" spans="1:54" s="9" customFormat="1" ht="15" x14ac:dyDescent="0.25">
      <c r="A29" s="26"/>
      <c r="C29" s="9" t="str">
        <f>C15&amp;AO8</f>
        <v>[B][8]</v>
      </c>
      <c r="D29" s="9" t="s">
        <v>36</v>
      </c>
    </row>
    <row r="30" spans="1:54" s="9" customFormat="1" ht="15" x14ac:dyDescent="0.25">
      <c r="A30" s="26"/>
    </row>
    <row r="31" spans="1:54" ht="15" x14ac:dyDescent="0.25">
      <c r="B31" s="9"/>
      <c r="C31" t="str">
        <f>C16</f>
        <v>[C]</v>
      </c>
      <c r="D31" s="33"/>
      <c r="I31"/>
      <c r="X31" s="9"/>
      <c r="AC31"/>
      <c r="AR31" s="9"/>
    </row>
    <row r="32" spans="1:54" s="9" customFormat="1" ht="15" x14ac:dyDescent="0.25">
      <c r="A32" s="26"/>
      <c r="C32" s="9" t="str">
        <f>C16&amp;U8</f>
        <v>[C][4]</v>
      </c>
      <c r="D32" s="18" t="s">
        <v>38</v>
      </c>
    </row>
    <row r="33" spans="1:44" s="9" customFormat="1" ht="15" x14ac:dyDescent="0.25">
      <c r="A33" s="26"/>
      <c r="C33" s="9" t="str">
        <f>C16&amp;AO8</f>
        <v>[C][8]</v>
      </c>
      <c r="D33" s="18" t="s">
        <v>38</v>
      </c>
    </row>
    <row r="34" spans="1:44" s="9" customFormat="1" ht="15" x14ac:dyDescent="0.25">
      <c r="A34" s="26"/>
      <c r="D34" s="14"/>
    </row>
    <row r="35" spans="1:44" ht="15" x14ac:dyDescent="0.25">
      <c r="B35" s="9"/>
      <c r="C35" t="str">
        <f>C17</f>
        <v>[D]</v>
      </c>
      <c r="D35" s="82"/>
      <c r="I35"/>
      <c r="X35" s="9"/>
      <c r="AC35"/>
      <c r="AR35" s="9"/>
    </row>
    <row r="36" spans="1:44" ht="15" x14ac:dyDescent="0.25">
      <c r="B36" s="9"/>
      <c r="C36" t="str">
        <f>C17&amp;K8</f>
        <v>[D][2]</v>
      </c>
      <c r="D36" s="9" t="s">
        <v>39</v>
      </c>
      <c r="I36"/>
      <c r="X36" s="9"/>
      <c r="AC36"/>
      <c r="AR36" s="9"/>
    </row>
    <row r="37" spans="1:44" ht="15" x14ac:dyDescent="0.25">
      <c r="B37" s="9"/>
      <c r="C37" t="str">
        <f>C17&amp;P8</f>
        <v>[D][3]</v>
      </c>
      <c r="D37" s="9" t="s">
        <v>39</v>
      </c>
      <c r="I37"/>
      <c r="X37" s="9"/>
      <c r="AC37"/>
      <c r="AR37" s="9"/>
    </row>
    <row r="38" spans="1:44" s="9" customFormat="1" ht="15" x14ac:dyDescent="0.25">
      <c r="A38" s="26"/>
      <c r="C38" s="9" t="str">
        <f>C17&amp;U8</f>
        <v>[D][4]</v>
      </c>
      <c r="D38" s="9" t="s">
        <v>26</v>
      </c>
    </row>
    <row r="39" spans="1:44" s="9" customFormat="1" ht="15" x14ac:dyDescent="0.25">
      <c r="A39" s="26"/>
      <c r="C39" s="9" t="str">
        <f>C17&amp;AE8</f>
        <v>[D][6]</v>
      </c>
      <c r="D39" s="9" t="s">
        <v>39</v>
      </c>
    </row>
    <row r="40" spans="1:44" s="9" customFormat="1" ht="15" x14ac:dyDescent="0.25">
      <c r="A40" s="26"/>
      <c r="C40" s="9" t="str">
        <f>C17&amp;AJ8</f>
        <v>[D][7]</v>
      </c>
      <c r="D40" s="9" t="s">
        <v>39</v>
      </c>
    </row>
    <row r="41" spans="1:44" s="9" customFormat="1" ht="15" x14ac:dyDescent="0.25">
      <c r="A41" s="26"/>
      <c r="C41" s="9" t="str">
        <f>C17&amp;AO8</f>
        <v>[D][8]</v>
      </c>
      <c r="D41" s="9" t="s">
        <v>25</v>
      </c>
    </row>
    <row r="42" spans="1:44" s="9" customFormat="1" ht="15" x14ac:dyDescent="0.25">
      <c r="A42" s="26"/>
    </row>
    <row r="43" spans="1:44" ht="15" x14ac:dyDescent="0.25">
      <c r="B43" s="9"/>
      <c r="C43" t="str">
        <f>C18</f>
        <v>[E]</v>
      </c>
      <c r="D43" s="33" t="s">
        <v>55</v>
      </c>
      <c r="I43"/>
      <c r="X43" s="9"/>
      <c r="AC43"/>
      <c r="AR43" s="9"/>
    </row>
    <row r="44" spans="1:44" ht="15" x14ac:dyDescent="0.25">
      <c r="B44" s="9"/>
      <c r="C44" t="str">
        <f>C18&amp;F8</f>
        <v>[E][1]</v>
      </c>
      <c r="D44" s="18" t="s">
        <v>42</v>
      </c>
      <c r="I44"/>
      <c r="X44" s="9"/>
      <c r="AC44"/>
      <c r="AR44" s="9"/>
    </row>
    <row r="45" spans="1:44" ht="15" x14ac:dyDescent="0.25">
      <c r="B45" s="9"/>
      <c r="C45" t="str">
        <f>C18&amp;U8</f>
        <v>[E][4]</v>
      </c>
      <c r="D45" s="34" t="s">
        <v>29</v>
      </c>
      <c r="I45"/>
      <c r="X45" s="9"/>
      <c r="AC45"/>
      <c r="AR45" s="9"/>
    </row>
    <row r="46" spans="1:44" ht="15" x14ac:dyDescent="0.25">
      <c r="C46" t="str">
        <f>C18&amp;Z8</f>
        <v>[E][5]</v>
      </c>
      <c r="D46" s="18" t="s">
        <v>42</v>
      </c>
    </row>
    <row r="47" spans="1:44" ht="15" x14ac:dyDescent="0.25">
      <c r="C47" t="str">
        <f>C18&amp;AO8</f>
        <v>[E][8]</v>
      </c>
      <c r="D47" s="34" t="s">
        <v>28</v>
      </c>
    </row>
    <row r="49" spans="3:4" ht="15" x14ac:dyDescent="0.25">
      <c r="C49" t="str">
        <f>C19</f>
        <v>[F]</v>
      </c>
      <c r="D49" s="33"/>
    </row>
    <row r="50" spans="3:4" ht="15" x14ac:dyDescent="0.25">
      <c r="C50" t="str">
        <f>C19&amp;F8</f>
        <v>[F][1]</v>
      </c>
      <c r="D50" t="s">
        <v>56</v>
      </c>
    </row>
    <row r="51" spans="3:4" x14ac:dyDescent="0.35">
      <c r="C51" t="str">
        <f>C19&amp;K8</f>
        <v>[F][2]</v>
      </c>
      <c r="D51" s="33" t="s">
        <v>27</v>
      </c>
    </row>
    <row r="52" spans="3:4" x14ac:dyDescent="0.35">
      <c r="C52" t="str">
        <f>C19&amp;P8</f>
        <v>[F][3]</v>
      </c>
      <c r="D52" s="9" t="s">
        <v>56</v>
      </c>
    </row>
    <row r="53" spans="3:4" x14ac:dyDescent="0.35">
      <c r="C53" t="str">
        <f>C19&amp;U8</f>
        <v>[F][4]</v>
      </c>
      <c r="D53" s="9" t="s">
        <v>26</v>
      </c>
    </row>
  </sheetData>
  <mergeCells count="11">
    <mergeCell ref="AZ5:BA5"/>
    <mergeCell ref="F5:I5"/>
    <mergeCell ref="K5:N5"/>
    <mergeCell ref="P5:S5"/>
    <mergeCell ref="U5:X5"/>
    <mergeCell ref="Z5:AC5"/>
    <mergeCell ref="AE5:AH5"/>
    <mergeCell ref="AJ5:AM5"/>
    <mergeCell ref="AO5:AR5"/>
    <mergeCell ref="AT5:AU5"/>
    <mergeCell ref="AW5:AX5"/>
  </mergeCells>
  <pageMargins left="0.7" right="0.7" top="0.75" bottom="0.75" header="0.3" footer="0.3"/>
  <pageSetup scale="72" orientation="landscape" r:id="rId1"/>
  <rowBreaks count="1" manualBreakCount="1">
    <brk id="21" min="2" max="53" man="1"/>
  </rowBreaks>
  <colBreaks count="4" manualBreakCount="4">
    <brk id="15" max="53" man="1"/>
    <brk id="25" max="53" man="1"/>
    <brk id="34" max="53" man="1"/>
    <brk id="47" max="53"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8"/>
  <sheetViews>
    <sheetView view="pageBreakPreview" zoomScale="60" zoomScaleNormal="90" workbookViewId="0">
      <selection activeCell="C3" sqref="C3:R35"/>
    </sheetView>
  </sheetViews>
  <sheetFormatPr defaultColWidth="9.26953125" defaultRowHeight="14.5" outlineLevelRow="1" outlineLevelCol="1" x14ac:dyDescent="0.35"/>
  <cols>
    <col min="1" max="1" width="9.26953125" style="26" customWidth="1" outlineLevel="1"/>
    <col min="2" max="2" width="9.26953125" style="9"/>
    <col min="3" max="3" width="6" style="9" customWidth="1"/>
    <col min="4" max="4" width="11.7265625" style="9" bestFit="1" customWidth="1"/>
    <col min="5" max="5" width="1.7265625" style="9" customWidth="1"/>
    <col min="6" max="7" width="13.54296875" style="9" customWidth="1"/>
    <col min="8" max="8" width="14" style="9" customWidth="1"/>
    <col min="9" max="9" width="1.7265625" style="69" customWidth="1"/>
    <col min="10" max="13" width="13.7265625" style="69" customWidth="1"/>
    <col min="14" max="14" width="1.7265625" style="69" customWidth="1"/>
    <col min="15" max="15" width="13.7265625" style="69" customWidth="1"/>
    <col min="16" max="16" width="1.7265625" style="69" customWidth="1"/>
    <col min="17" max="17" width="15" style="9" customWidth="1"/>
    <col min="18" max="18" width="1.7265625" style="9" customWidth="1"/>
    <col min="19" max="16384" width="9.26953125" style="9"/>
  </cols>
  <sheetData>
    <row r="1" spans="1:23" s="81" customFormat="1" ht="15" x14ac:dyDescent="0.25">
      <c r="A1" s="106"/>
      <c r="B1" s="106"/>
      <c r="C1" s="106"/>
      <c r="D1" s="106"/>
      <c r="E1" s="106"/>
      <c r="F1" s="106"/>
      <c r="G1" s="107" t="s">
        <v>112</v>
      </c>
      <c r="H1" s="106">
        <v>13084000</v>
      </c>
      <c r="I1" s="106"/>
      <c r="J1" s="106"/>
      <c r="K1" s="106"/>
      <c r="L1" s="106"/>
      <c r="M1" s="106"/>
      <c r="N1" s="106"/>
      <c r="O1" s="106"/>
      <c r="P1" s="106"/>
      <c r="Q1" s="106"/>
      <c r="R1" s="106"/>
    </row>
    <row r="2" spans="1:23" s="26" customFormat="1" ht="15" outlineLevel="1" x14ac:dyDescent="0.25">
      <c r="A2" s="106"/>
      <c r="B2" s="106"/>
      <c r="C2" s="106"/>
      <c r="D2" s="106"/>
      <c r="E2" s="106"/>
      <c r="F2" s="106"/>
      <c r="G2" s="106"/>
      <c r="H2" s="106">
        <v>1</v>
      </c>
      <c r="I2" s="108"/>
      <c r="J2" s="108"/>
      <c r="K2" s="108"/>
      <c r="L2" s="108"/>
      <c r="M2" s="108"/>
      <c r="N2" s="106"/>
      <c r="O2" s="108">
        <f>IF(ISBLANK(O6), 0, MAX($H$2:N2)+1)</f>
        <v>2</v>
      </c>
      <c r="P2" s="108">
        <f>IF(ISBLANK(P6), 0, MAX($H$2:O2)+1)</f>
        <v>0</v>
      </c>
      <c r="Q2" s="108">
        <f>IF(ISBLANK(Q6), 0, MAX($H$2:P2)+1)</f>
        <v>3</v>
      </c>
      <c r="R2" s="108">
        <f>IF(ISBLANK(R6), 0, MAX($H$2:Q2)+1)</f>
        <v>0</v>
      </c>
    </row>
    <row r="3" spans="1:23" ht="23.25" x14ac:dyDescent="0.35">
      <c r="A3" s="106"/>
      <c r="B3" s="98"/>
      <c r="C3" s="137" t="s">
        <v>165</v>
      </c>
      <c r="D3" s="109"/>
      <c r="E3" s="109"/>
      <c r="F3" s="109"/>
      <c r="G3" s="109"/>
      <c r="H3" s="109"/>
      <c r="I3" s="109"/>
      <c r="J3" s="109"/>
      <c r="K3" s="109"/>
      <c r="L3" s="109"/>
      <c r="M3" s="109"/>
      <c r="N3" s="109"/>
      <c r="O3" s="109"/>
      <c r="P3" s="109"/>
      <c r="Q3" s="109"/>
      <c r="R3" s="109"/>
    </row>
    <row r="4" spans="1:23" ht="6" customHeight="1" thickBot="1" x14ac:dyDescent="0.3">
      <c r="A4" s="106"/>
      <c r="B4" s="98"/>
      <c r="C4" s="111"/>
      <c r="D4" s="111"/>
      <c r="E4" s="111"/>
      <c r="F4" s="111"/>
      <c r="G4" s="111"/>
      <c r="H4" s="111"/>
      <c r="I4" s="111"/>
      <c r="J4" s="111"/>
      <c r="K4" s="111"/>
      <c r="L4" s="111"/>
      <c r="M4" s="111"/>
      <c r="N4" s="111"/>
      <c r="O4" s="111"/>
      <c r="P4" s="111"/>
      <c r="Q4" s="111"/>
      <c r="R4" s="111"/>
    </row>
    <row r="5" spans="1:23" ht="6" customHeight="1" thickTop="1" x14ac:dyDescent="0.25">
      <c r="A5" s="106"/>
      <c r="B5" s="98"/>
      <c r="C5" s="98"/>
      <c r="D5" s="98"/>
      <c r="E5" s="98"/>
      <c r="F5" s="98"/>
      <c r="G5" s="98"/>
      <c r="H5" s="98"/>
      <c r="I5" s="98"/>
      <c r="J5" s="98"/>
      <c r="K5" s="98"/>
      <c r="L5" s="98"/>
      <c r="M5" s="98"/>
      <c r="N5" s="98"/>
      <c r="O5" s="98"/>
      <c r="P5" s="98"/>
      <c r="Q5" s="98"/>
      <c r="R5" s="98"/>
    </row>
    <row r="6" spans="1:23" ht="53.25" customHeight="1" x14ac:dyDescent="0.25">
      <c r="A6" s="112"/>
      <c r="B6" s="113"/>
      <c r="C6" s="113"/>
      <c r="D6" s="114"/>
      <c r="E6" s="114"/>
      <c r="F6" s="208" t="s">
        <v>162</v>
      </c>
      <c r="G6" s="208"/>
      <c r="H6" s="208"/>
      <c r="I6" s="150"/>
      <c r="J6" s="208" t="s">
        <v>163</v>
      </c>
      <c r="K6" s="208"/>
      <c r="L6" s="208"/>
      <c r="M6" s="208"/>
      <c r="N6" s="150"/>
      <c r="O6" s="156" t="s">
        <v>164</v>
      </c>
      <c r="P6" s="115"/>
      <c r="Q6" s="156" t="s">
        <v>161</v>
      </c>
      <c r="R6" s="115"/>
    </row>
    <row r="7" spans="1:23" ht="6" customHeight="1" x14ac:dyDescent="0.25">
      <c r="A7" s="112"/>
      <c r="B7" s="113"/>
      <c r="C7" s="113"/>
      <c r="D7" s="114"/>
      <c r="E7" s="114"/>
      <c r="F7" s="114"/>
      <c r="G7" s="114"/>
      <c r="H7" s="116"/>
      <c r="I7" s="116"/>
      <c r="J7" s="114"/>
      <c r="K7" s="114"/>
      <c r="L7" s="116"/>
      <c r="M7" s="116"/>
      <c r="N7" s="116"/>
      <c r="O7" s="116"/>
      <c r="P7" s="157"/>
      <c r="Q7" s="116"/>
      <c r="R7" s="115"/>
    </row>
    <row r="8" spans="1:23" ht="6" customHeight="1" x14ac:dyDescent="0.25">
      <c r="A8" s="112"/>
      <c r="B8" s="113"/>
      <c r="C8" s="117"/>
      <c r="D8" s="118"/>
      <c r="E8" s="118"/>
      <c r="F8" s="118"/>
      <c r="G8" s="118"/>
      <c r="H8" s="150"/>
      <c r="I8" s="150"/>
      <c r="J8" s="118"/>
      <c r="K8" s="118"/>
      <c r="L8" s="150"/>
      <c r="M8" s="150"/>
      <c r="N8" s="150"/>
      <c r="O8" s="150"/>
      <c r="P8" s="115"/>
      <c r="Q8" s="150"/>
      <c r="R8" s="115"/>
    </row>
    <row r="9" spans="1:23" ht="15" x14ac:dyDescent="0.25">
      <c r="A9" s="112"/>
      <c r="B9" s="113"/>
      <c r="C9" s="113"/>
      <c r="D9" s="114"/>
      <c r="E9" s="114"/>
      <c r="F9" s="209" t="s">
        <v>30</v>
      </c>
      <c r="G9" s="209"/>
      <c r="H9" s="209"/>
      <c r="I9" s="119"/>
      <c r="J9" s="209" t="s">
        <v>31</v>
      </c>
      <c r="K9" s="209"/>
      <c r="L9" s="209"/>
      <c r="M9" s="209"/>
      <c r="N9" s="119"/>
      <c r="O9" s="119" t="s">
        <v>33</v>
      </c>
      <c r="P9" s="119" t="str">
        <f t="shared" ref="P9" si="0">IF(ISBLANK(P6), "","["&amp;P2&amp;"]")</f>
        <v/>
      </c>
      <c r="Q9" s="119" t="s">
        <v>34</v>
      </c>
      <c r="R9" s="120" t="str">
        <f t="shared" ref="R9" si="1">IF(ISBLANK(R6), "","["&amp;R2&amp;"]")</f>
        <v/>
      </c>
    </row>
    <row r="10" spans="1:23" ht="6" customHeight="1" x14ac:dyDescent="0.25">
      <c r="A10" s="106"/>
      <c r="B10" s="98"/>
      <c r="C10" s="98"/>
      <c r="D10" s="121"/>
      <c r="E10" s="121"/>
      <c r="F10" s="121"/>
      <c r="G10" s="121"/>
      <c r="H10" s="116"/>
      <c r="I10" s="116"/>
      <c r="J10" s="121"/>
      <c r="K10" s="121"/>
      <c r="L10" s="116"/>
      <c r="M10" s="116"/>
      <c r="N10" s="116"/>
      <c r="O10" s="116"/>
      <c r="P10" s="157"/>
      <c r="Q10" s="116"/>
      <c r="R10" s="122"/>
    </row>
    <row r="11" spans="1:23" ht="6" customHeight="1" x14ac:dyDescent="0.25">
      <c r="A11" s="106"/>
      <c r="B11" s="98"/>
      <c r="C11" s="117"/>
      <c r="D11" s="117"/>
      <c r="E11" s="117"/>
      <c r="F11" s="117"/>
      <c r="G11" s="117"/>
      <c r="H11" s="98"/>
      <c r="I11" s="98"/>
      <c r="J11" s="117"/>
      <c r="K11" s="117"/>
      <c r="L11" s="98"/>
      <c r="M11" s="98"/>
      <c r="N11" s="98"/>
      <c r="O11" s="98"/>
      <c r="P11" s="98"/>
      <c r="Q11" s="98"/>
      <c r="R11" s="98"/>
    </row>
    <row r="12" spans="1:23" ht="15" x14ac:dyDescent="0.25">
      <c r="A12" s="106"/>
      <c r="B12" s="98"/>
      <c r="C12" s="98"/>
      <c r="D12" s="123" t="s">
        <v>7</v>
      </c>
      <c r="E12" s="124"/>
      <c r="F12" s="124">
        <v>2014</v>
      </c>
      <c r="G12" s="124">
        <v>2015</v>
      </c>
      <c r="H12" s="124">
        <f>2016</f>
        <v>2016</v>
      </c>
      <c r="I12" s="124"/>
      <c r="J12" s="124">
        <v>2014</v>
      </c>
      <c r="K12" s="124">
        <v>2015</v>
      </c>
      <c r="L12" s="124">
        <f>2016</f>
        <v>2016</v>
      </c>
      <c r="M12" s="124">
        <f>2017</f>
        <v>2017</v>
      </c>
      <c r="N12" s="124"/>
      <c r="O12" s="124"/>
      <c r="P12" s="124"/>
      <c r="Q12" s="124"/>
      <c r="R12" s="124"/>
    </row>
    <row r="13" spans="1:23" ht="5.65" customHeight="1" x14ac:dyDescent="0.25">
      <c r="A13" s="106"/>
      <c r="B13" s="98"/>
      <c r="C13" s="125"/>
      <c r="D13" s="125"/>
      <c r="E13" s="125"/>
      <c r="F13" s="125"/>
      <c r="G13" s="125"/>
      <c r="H13" s="125"/>
      <c r="I13" s="125"/>
      <c r="J13" s="125"/>
      <c r="K13" s="125"/>
      <c r="L13" s="125"/>
      <c r="M13" s="125"/>
      <c r="N13" s="125"/>
      <c r="O13" s="125"/>
      <c r="P13" s="125"/>
      <c r="Q13" s="125"/>
      <c r="R13" s="113"/>
    </row>
    <row r="14" spans="1:23" ht="5.65" customHeight="1" x14ac:dyDescent="0.25">
      <c r="A14" s="106"/>
      <c r="B14" s="98"/>
      <c r="C14" s="98"/>
      <c r="D14" s="98"/>
      <c r="E14" s="98"/>
      <c r="F14" s="98"/>
      <c r="G14" s="98"/>
      <c r="H14" s="147"/>
      <c r="I14" s="147"/>
      <c r="J14" s="98"/>
      <c r="K14" s="98"/>
      <c r="L14" s="147"/>
      <c r="M14" s="147"/>
      <c r="N14" s="147"/>
      <c r="O14" s="147"/>
      <c r="P14" s="98"/>
      <c r="Q14" s="147"/>
      <c r="R14" s="98"/>
      <c r="T14" s="10"/>
      <c r="U14" s="10"/>
    </row>
    <row r="15" spans="1:23" ht="15" customHeight="1" x14ac:dyDescent="0.25">
      <c r="A15" s="126"/>
      <c r="B15" s="98"/>
      <c r="C15" s="98" t="s">
        <v>64</v>
      </c>
      <c r="D15" s="98" t="s">
        <v>2</v>
      </c>
      <c r="E15" s="98"/>
      <c r="F15" s="147">
        <f>'Sprint Q4 10-Qs'!E9*($H$15/($H$1+$H$15))</f>
        <v>1915894.1845212069</v>
      </c>
      <c r="G15" s="147">
        <f>'Sprint Q4 10-Qs'!F9*($H$15/($H$1+$H$15))</f>
        <v>2339232.6191517273</v>
      </c>
      <c r="H15" s="147">
        <v>2925000</v>
      </c>
      <c r="I15" s="147"/>
      <c r="J15" s="147">
        <f>'Sprint Q4 10-Qs'!E9-F15</f>
        <v>8570105.8154787924</v>
      </c>
      <c r="K15" s="147">
        <f>'Sprint Q4 10-Qs'!F9-G15</f>
        <v>10463767.380848274</v>
      </c>
      <c r="L15" s="147">
        <f>'Sprint Q4 10-Qs'!G9</f>
        <v>13084000</v>
      </c>
      <c r="M15" s="147">
        <f>'Sprint Q4 10-Qs'!H9</f>
        <v>13642000</v>
      </c>
      <c r="N15" s="147"/>
      <c r="O15" s="147">
        <f>AVERAGE(L15:M15)</f>
        <v>13363000</v>
      </c>
      <c r="P15" s="50"/>
      <c r="Q15" s="50">
        <f>'Sprint Q4 10-Qs'!H11</f>
        <v>884000000</v>
      </c>
      <c r="R15" s="50"/>
    </row>
    <row r="16" spans="1:23" ht="15" x14ac:dyDescent="0.25">
      <c r="A16" s="126"/>
      <c r="B16" s="98"/>
      <c r="C16" s="98" t="s">
        <v>65</v>
      </c>
      <c r="D16" s="98" t="s">
        <v>3</v>
      </c>
      <c r="E16" s="98"/>
      <c r="F16" s="147">
        <f>'TMobile Annual Reports'!D13*($H$16/'TMobile Annual Reports'!$F$13)</f>
        <v>3029275.3993610223</v>
      </c>
      <c r="G16" s="147">
        <f>'TMobile Annual Reports'!E13*($H$16/'TMobile Annual Reports'!$F$13)</f>
        <v>3670796.8632006967</v>
      </c>
      <c r="H16" s="147">
        <v>4528000</v>
      </c>
      <c r="I16" s="147"/>
      <c r="J16" s="147">
        <f>'TMobile Annual Reports'!D13-F16</f>
        <v>8487724.6006389782</v>
      </c>
      <c r="K16" s="147">
        <f>'TMobile Annual Reports'!E13-G16</f>
        <v>10285203.136799304</v>
      </c>
      <c r="L16" s="147">
        <f>'TMobile Annual Reports'!F13-H16</f>
        <v>12687000</v>
      </c>
      <c r="M16" s="147">
        <f>'TMobile Annual Reports'!G13</f>
        <v>13870000</v>
      </c>
      <c r="N16" s="147"/>
      <c r="O16" s="147">
        <f>AVERAGE(L16:M16)</f>
        <v>13278500</v>
      </c>
      <c r="P16" s="49"/>
      <c r="Q16" s="49">
        <f>'TMobile Annual Reports'!G15</f>
        <v>1102000000</v>
      </c>
      <c r="R16" s="49"/>
      <c r="T16" s="10"/>
      <c r="U16" s="10"/>
      <c r="V16" s="10"/>
      <c r="W16" s="10"/>
    </row>
    <row r="17" spans="1:18" ht="15" hidden="1" outlineLevel="1" x14ac:dyDescent="0.25">
      <c r="A17" s="126">
        <f>MAX($A$15:A16)+1</f>
        <v>1</v>
      </c>
      <c r="B17" s="98"/>
      <c r="C17" s="98" t="str">
        <f t="shared" ref="C17" si="2">IF(ISBLANK(D17),"","["&amp;CHAR(A17)&amp;"]")</f>
        <v>[_x0001_]</v>
      </c>
      <c r="D17" s="98" t="s">
        <v>4</v>
      </c>
      <c r="E17" s="98"/>
      <c r="F17" s="98"/>
      <c r="G17" s="98"/>
      <c r="H17" s="147">
        <f>5031000-Retail!AB18-Retail!H18</f>
        <v>65000</v>
      </c>
      <c r="I17" s="147"/>
      <c r="J17" s="147"/>
      <c r="K17" s="147"/>
      <c r="L17" s="147"/>
      <c r="M17" s="147"/>
      <c r="N17" s="147"/>
      <c r="O17" s="147"/>
      <c r="P17" s="98"/>
      <c r="Q17" s="147"/>
      <c r="R17" s="98"/>
    </row>
    <row r="18" spans="1:18" ht="6" customHeight="1" collapsed="1" thickBot="1" x14ac:dyDescent="0.3">
      <c r="A18" s="106"/>
      <c r="B18" s="98"/>
      <c r="C18" s="111"/>
      <c r="D18" s="111"/>
      <c r="E18" s="111"/>
      <c r="F18" s="111"/>
      <c r="G18" s="111"/>
      <c r="H18" s="130"/>
      <c r="I18" s="130"/>
      <c r="J18" s="130"/>
      <c r="K18" s="130"/>
      <c r="L18" s="130"/>
      <c r="M18" s="130"/>
      <c r="N18" s="130"/>
      <c r="O18" s="130"/>
      <c r="P18" s="111"/>
      <c r="Q18" s="130"/>
      <c r="R18" s="111"/>
    </row>
    <row r="19" spans="1:18" ht="6" customHeight="1" thickTop="1" x14ac:dyDescent="0.25">
      <c r="A19" s="106"/>
      <c r="B19" s="98"/>
      <c r="C19" s="98"/>
      <c r="D19" s="98"/>
      <c r="E19" s="131"/>
      <c r="F19" s="131"/>
      <c r="G19" s="131"/>
      <c r="H19" s="131"/>
      <c r="I19" s="131"/>
      <c r="J19" s="131"/>
      <c r="K19" s="131"/>
      <c r="L19" s="131"/>
      <c r="M19" s="131"/>
      <c r="N19" s="131"/>
      <c r="O19" s="98"/>
      <c r="P19" s="98"/>
      <c r="Q19" s="98"/>
      <c r="R19" s="98"/>
    </row>
    <row r="20" spans="1:18" ht="15" x14ac:dyDescent="0.25">
      <c r="A20" s="106"/>
      <c r="B20" s="98"/>
      <c r="C20" s="98" t="s">
        <v>19</v>
      </c>
      <c r="D20" s="98"/>
      <c r="E20" s="98"/>
      <c r="F20" s="98"/>
      <c r="G20" s="98"/>
      <c r="H20" s="98"/>
      <c r="I20" s="98"/>
      <c r="J20" s="98"/>
      <c r="K20" s="98"/>
      <c r="L20" s="98"/>
      <c r="M20" s="98"/>
      <c r="N20" s="98"/>
      <c r="O20" s="98"/>
      <c r="P20" s="98"/>
      <c r="Q20" s="98"/>
      <c r="R20" s="98"/>
    </row>
    <row r="21" spans="1:18" ht="15" x14ac:dyDescent="0.25">
      <c r="A21" s="106"/>
      <c r="B21" s="98"/>
      <c r="C21" s="146" t="s">
        <v>9</v>
      </c>
      <c r="D21" s="98"/>
      <c r="E21" s="98"/>
      <c r="F21" s="98"/>
      <c r="G21" s="98"/>
      <c r="H21" s="98"/>
      <c r="I21" s="98"/>
      <c r="J21" s="98"/>
      <c r="K21" s="98"/>
      <c r="L21" s="98"/>
      <c r="M21" s="98"/>
      <c r="N21" s="98"/>
      <c r="O21" s="98"/>
      <c r="P21" s="98"/>
      <c r="Q21" s="98"/>
      <c r="R21" s="98"/>
    </row>
    <row r="22" spans="1:18" s="69" customFormat="1" ht="15" x14ac:dyDescent="0.25">
      <c r="A22" s="106"/>
      <c r="B22" s="98"/>
      <c r="C22" s="98"/>
      <c r="D22" s="146"/>
      <c r="E22" s="98"/>
      <c r="F22" s="98"/>
      <c r="G22" s="98"/>
      <c r="H22" s="98"/>
      <c r="I22" s="98"/>
      <c r="J22" s="98"/>
      <c r="K22" s="98"/>
      <c r="L22" s="98"/>
      <c r="M22" s="98"/>
      <c r="N22" s="98"/>
      <c r="O22" s="98"/>
      <c r="P22" s="98"/>
      <c r="Q22" s="98"/>
      <c r="R22" s="98"/>
    </row>
    <row r="23" spans="1:18" ht="15" x14ac:dyDescent="0.25">
      <c r="A23" s="106"/>
      <c r="B23" s="98"/>
      <c r="C23" s="98" t="str">
        <f>C15</f>
        <v>[A]</v>
      </c>
      <c r="D23" s="146"/>
      <c r="E23" s="98"/>
      <c r="F23" s="98"/>
      <c r="G23" s="98"/>
      <c r="H23" s="98"/>
      <c r="I23" s="98"/>
      <c r="J23" s="98"/>
      <c r="K23" s="98"/>
      <c r="L23" s="98"/>
      <c r="M23" s="98"/>
      <c r="N23" s="98"/>
      <c r="O23" s="98"/>
      <c r="P23" s="98"/>
      <c r="Q23" s="98"/>
      <c r="R23" s="98"/>
    </row>
    <row r="24" spans="1:18" s="69" customFormat="1" ht="15" x14ac:dyDescent="0.25">
      <c r="A24" s="106"/>
      <c r="B24" s="98"/>
      <c r="C24" s="98" t="str">
        <f>C15&amp;F9</f>
        <v>[A][1]</v>
      </c>
      <c r="D24" s="146" t="s">
        <v>166</v>
      </c>
      <c r="E24" s="98"/>
      <c r="F24" s="98"/>
      <c r="G24" s="98"/>
      <c r="H24" s="98"/>
      <c r="I24" s="98"/>
      <c r="J24" s="98"/>
      <c r="K24" s="98"/>
      <c r="L24" s="98"/>
      <c r="M24" s="98"/>
      <c r="N24" s="98"/>
      <c r="O24" s="98"/>
      <c r="P24" s="98"/>
      <c r="Q24" s="98"/>
      <c r="R24" s="98"/>
    </row>
    <row r="25" spans="1:18" s="69" customFormat="1" ht="15" x14ac:dyDescent="0.25">
      <c r="A25" s="106"/>
      <c r="B25" s="98"/>
      <c r="C25" s="98"/>
      <c r="D25" s="146" t="s">
        <v>167</v>
      </c>
      <c r="E25" s="98"/>
      <c r="F25" s="98"/>
      <c r="G25" s="98"/>
      <c r="H25" s="98"/>
      <c r="I25" s="98"/>
      <c r="J25" s="98"/>
      <c r="K25" s="98"/>
      <c r="L25" s="98"/>
      <c r="M25" s="98"/>
      <c r="N25" s="98"/>
      <c r="O25" s="98"/>
      <c r="P25" s="98"/>
      <c r="Q25" s="98"/>
      <c r="R25" s="98"/>
    </row>
    <row r="26" spans="1:18" ht="15" x14ac:dyDescent="0.25">
      <c r="A26" s="106"/>
      <c r="B26" s="98"/>
      <c r="C26" s="98" t="str">
        <f>C15&amp;J9</f>
        <v>[A][2]</v>
      </c>
      <c r="D26" s="146" t="s">
        <v>168</v>
      </c>
      <c r="E26" s="98"/>
      <c r="F26" s="98"/>
      <c r="G26" s="98"/>
      <c r="H26" s="98"/>
      <c r="I26" s="98"/>
      <c r="J26" s="98"/>
      <c r="K26" s="98"/>
      <c r="L26" s="98"/>
      <c r="M26" s="98"/>
      <c r="N26" s="98"/>
      <c r="O26" s="98"/>
      <c r="P26" s="98"/>
      <c r="Q26" s="98"/>
      <c r="R26" s="98"/>
    </row>
    <row r="27" spans="1:18" s="69" customFormat="1" ht="15" x14ac:dyDescent="0.25">
      <c r="A27" s="106"/>
      <c r="B27" s="98"/>
      <c r="C27" s="98" t="str">
        <f>C15&amp;O9</f>
        <v>[A][3]</v>
      </c>
      <c r="D27" s="146" t="s">
        <v>35</v>
      </c>
      <c r="E27" s="98"/>
      <c r="F27" s="98"/>
      <c r="G27" s="98"/>
      <c r="H27" s="98"/>
      <c r="I27" s="98"/>
      <c r="J27" s="98"/>
      <c r="K27" s="98"/>
      <c r="L27" s="98"/>
      <c r="M27" s="98"/>
      <c r="N27" s="98"/>
      <c r="O27" s="98"/>
      <c r="P27" s="98"/>
      <c r="Q27" s="98"/>
      <c r="R27" s="98"/>
    </row>
    <row r="28" spans="1:18" ht="15" x14ac:dyDescent="0.25">
      <c r="A28" s="106"/>
      <c r="B28" s="98"/>
      <c r="C28" s="98" t="str">
        <f>C15&amp;Q9</f>
        <v>[A][4]</v>
      </c>
      <c r="D28" s="146" t="s">
        <v>23</v>
      </c>
      <c r="E28" s="98"/>
      <c r="F28" s="98"/>
      <c r="G28" s="98"/>
      <c r="H28" s="98"/>
      <c r="I28" s="98"/>
      <c r="J28" s="98"/>
      <c r="K28" s="98"/>
      <c r="L28" s="98"/>
      <c r="M28" s="98"/>
      <c r="N28" s="98"/>
      <c r="O28" s="98"/>
      <c r="P28" s="98"/>
      <c r="Q28" s="98"/>
      <c r="R28" s="98"/>
    </row>
    <row r="29" spans="1:18" ht="15" x14ac:dyDescent="0.25">
      <c r="A29" s="106"/>
      <c r="B29" s="98"/>
      <c r="C29" s="98"/>
      <c r="D29" s="132"/>
      <c r="E29" s="98"/>
      <c r="F29" s="98"/>
      <c r="G29" s="98"/>
      <c r="H29" s="98"/>
      <c r="I29" s="98"/>
      <c r="J29" s="98"/>
      <c r="K29" s="98"/>
      <c r="L29" s="98"/>
      <c r="M29" s="98"/>
      <c r="N29" s="98"/>
      <c r="O29" s="98"/>
      <c r="P29" s="98"/>
      <c r="Q29" s="98"/>
      <c r="R29" s="98"/>
    </row>
    <row r="30" spans="1:18" ht="15" x14ac:dyDescent="0.25">
      <c r="A30" s="106"/>
      <c r="B30" s="98"/>
      <c r="C30" s="98" t="str">
        <f>C16</f>
        <v>[B]</v>
      </c>
      <c r="D30" s="146"/>
      <c r="E30" s="98"/>
      <c r="F30" s="98"/>
      <c r="G30" s="98"/>
      <c r="H30" s="98"/>
      <c r="I30" s="98"/>
      <c r="J30" s="98"/>
      <c r="K30" s="98"/>
      <c r="L30" s="98"/>
      <c r="M30" s="98"/>
      <c r="N30" s="98"/>
      <c r="O30" s="98"/>
      <c r="P30" s="98"/>
      <c r="Q30" s="98"/>
      <c r="R30" s="98"/>
    </row>
    <row r="31" spans="1:18" s="69" customFormat="1" ht="15" x14ac:dyDescent="0.25">
      <c r="A31" s="106"/>
      <c r="B31" s="98"/>
      <c r="C31" s="98" t="str">
        <f>C16&amp;F9</f>
        <v>[B][1]</v>
      </c>
      <c r="D31" s="146" t="s">
        <v>169</v>
      </c>
      <c r="E31" s="98"/>
      <c r="F31" s="98"/>
      <c r="G31" s="98"/>
      <c r="H31" s="98"/>
      <c r="I31" s="98"/>
      <c r="J31" s="98"/>
      <c r="K31" s="98"/>
      <c r="L31" s="98"/>
      <c r="M31" s="98"/>
      <c r="N31" s="98"/>
      <c r="O31" s="98"/>
      <c r="P31" s="98"/>
      <c r="Q31" s="98"/>
      <c r="R31" s="98"/>
    </row>
    <row r="32" spans="1:18" s="69" customFormat="1" ht="15" x14ac:dyDescent="0.25">
      <c r="A32" s="106"/>
      <c r="B32" s="98"/>
      <c r="C32" s="98"/>
      <c r="D32" s="146" t="s">
        <v>167</v>
      </c>
      <c r="E32" s="98"/>
      <c r="F32" s="98"/>
      <c r="G32" s="98"/>
      <c r="H32" s="98"/>
      <c r="I32" s="98"/>
      <c r="J32" s="98"/>
      <c r="K32" s="98"/>
      <c r="L32" s="98"/>
      <c r="M32" s="98"/>
      <c r="N32" s="98"/>
      <c r="O32" s="98"/>
      <c r="P32" s="98"/>
      <c r="Q32" s="98"/>
      <c r="R32" s="98"/>
    </row>
    <row r="33" spans="1:18" ht="15" x14ac:dyDescent="0.25">
      <c r="A33" s="106"/>
      <c r="B33" s="98"/>
      <c r="C33" s="98" t="str">
        <f>C16&amp;J9</f>
        <v>[B][2]</v>
      </c>
      <c r="D33" s="146" t="s">
        <v>168</v>
      </c>
      <c r="E33" s="98"/>
      <c r="F33" s="98"/>
      <c r="G33" s="98"/>
      <c r="H33" s="98"/>
      <c r="I33" s="98"/>
      <c r="J33" s="98"/>
      <c r="K33" s="98"/>
      <c r="L33" s="98"/>
      <c r="M33" s="98"/>
      <c r="N33" s="98"/>
      <c r="O33" s="98"/>
      <c r="P33" s="98"/>
      <c r="Q33" s="98"/>
      <c r="R33" s="98"/>
    </row>
    <row r="34" spans="1:18" s="69" customFormat="1" ht="15" x14ac:dyDescent="0.25">
      <c r="A34" s="106"/>
      <c r="B34" s="98"/>
      <c r="C34" s="98" t="str">
        <f>C16&amp;O9</f>
        <v>[B][3]</v>
      </c>
      <c r="D34" s="146" t="s">
        <v>35</v>
      </c>
      <c r="E34" s="98"/>
      <c r="F34" s="98"/>
      <c r="G34" s="98"/>
      <c r="H34" s="98"/>
      <c r="I34" s="98"/>
      <c r="J34" s="98"/>
      <c r="K34" s="98"/>
      <c r="L34" s="98"/>
      <c r="M34" s="98"/>
      <c r="N34" s="98"/>
      <c r="O34" s="98"/>
      <c r="P34" s="98"/>
      <c r="Q34" s="98"/>
      <c r="R34" s="98"/>
    </row>
    <row r="35" spans="1:18" ht="15" x14ac:dyDescent="0.25">
      <c r="A35" s="106"/>
      <c r="B35" s="98"/>
      <c r="C35" s="98" t="str">
        <f>C16&amp;Q9</f>
        <v>[B][4]</v>
      </c>
      <c r="D35" s="146" t="s">
        <v>24</v>
      </c>
      <c r="E35" s="98"/>
      <c r="F35" s="98"/>
      <c r="G35" s="98"/>
      <c r="H35" s="98"/>
      <c r="I35" s="98"/>
      <c r="J35" s="98"/>
      <c r="K35" s="98"/>
      <c r="L35" s="98"/>
      <c r="M35" s="98"/>
      <c r="N35" s="98"/>
      <c r="O35" s="98"/>
      <c r="P35" s="98"/>
      <c r="Q35" s="98"/>
      <c r="R35" s="98"/>
    </row>
    <row r="36" spans="1:18" ht="15" x14ac:dyDescent="0.25">
      <c r="A36" s="106"/>
      <c r="B36" s="98"/>
      <c r="C36" s="98"/>
      <c r="D36" s="90"/>
      <c r="E36" s="98"/>
      <c r="F36" s="98"/>
      <c r="G36" s="98"/>
      <c r="H36" s="98"/>
      <c r="I36" s="98"/>
      <c r="J36" s="98"/>
      <c r="K36" s="98"/>
      <c r="L36" s="98"/>
      <c r="M36" s="98"/>
      <c r="N36" s="98"/>
      <c r="O36" s="98"/>
      <c r="P36" s="98"/>
      <c r="Q36" s="98"/>
      <c r="R36" s="98"/>
    </row>
    <row r="38" spans="1:18" ht="15" x14ac:dyDescent="0.25">
      <c r="D38" s="14"/>
    </row>
  </sheetData>
  <mergeCells count="4">
    <mergeCell ref="F6:H6"/>
    <mergeCell ref="J6:M6"/>
    <mergeCell ref="F9:H9"/>
    <mergeCell ref="J9:M9"/>
  </mergeCells>
  <pageMargins left="0.7" right="0.7" top="0.75" bottom="0.75" header="0.3" footer="0.3"/>
  <pageSetup scale="7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
  <sheetViews>
    <sheetView topLeftCell="A1048576" workbookViewId="0">
      <selection activeCell="M30" sqref="A1:XFD1048576"/>
    </sheetView>
  </sheetViews>
  <sheetFormatPr defaultRowHeight="14.5" zeroHeight="1" x14ac:dyDescent="0.35"/>
  <sheetData>
    <row r="1" ht="15" hidden="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view="pageBreakPreview" zoomScale="60" zoomScaleNormal="100" workbookViewId="0">
      <selection activeCell="G21" sqref="G21:T22"/>
    </sheetView>
  </sheetViews>
  <sheetFormatPr defaultRowHeight="14.5" x14ac:dyDescent="0.35"/>
  <cols>
    <col min="1" max="1" width="5.26953125" style="69" customWidth="1"/>
    <col min="2" max="2" width="38.81640625" customWidth="1"/>
    <col min="3" max="3" width="1.7265625" customWidth="1"/>
    <col min="4" max="5" width="13.453125" bestFit="1" customWidth="1"/>
    <col min="6" max="7" width="13.81640625" bestFit="1" customWidth="1"/>
    <col min="8" max="8" width="13.453125" bestFit="1" customWidth="1"/>
    <col min="9" max="9" width="13" bestFit="1" customWidth="1"/>
    <col min="10" max="12" width="13" style="69" bestFit="1" customWidth="1"/>
    <col min="13" max="16" width="13.453125" style="69" bestFit="1" customWidth="1"/>
    <col min="17" max="18" width="13" style="69" bestFit="1" customWidth="1"/>
    <col min="19" max="19" width="13.453125" style="69" bestFit="1" customWidth="1"/>
    <col min="20" max="21" width="8.81640625" style="69"/>
  </cols>
  <sheetData>
    <row r="1" spans="2:21" s="69" customFormat="1" ht="15" x14ac:dyDescent="0.25"/>
    <row r="2" spans="2:21" s="69" customFormat="1" ht="18.75" x14ac:dyDescent="0.3">
      <c r="B2" s="153" t="s">
        <v>170</v>
      </c>
      <c r="C2" s="153"/>
      <c r="D2" s="153"/>
      <c r="E2" s="153"/>
      <c r="F2" s="153"/>
      <c r="G2" s="153"/>
      <c r="H2" s="153"/>
    </row>
    <row r="3" spans="2:21" s="69" customFormat="1" ht="6" customHeight="1" x14ac:dyDescent="0.25">
      <c r="B3" s="73"/>
      <c r="C3" s="73"/>
      <c r="D3" s="73"/>
      <c r="E3" s="73"/>
      <c r="F3" s="73"/>
      <c r="G3" s="73"/>
      <c r="H3" s="73"/>
    </row>
    <row r="4" spans="2:21" ht="6" customHeight="1" x14ac:dyDescent="0.25">
      <c r="B4" s="90"/>
      <c r="C4" s="90"/>
      <c r="D4" s="92"/>
      <c r="E4" s="92"/>
      <c r="F4" s="92"/>
      <c r="G4" s="92"/>
      <c r="H4" s="92"/>
      <c r="I4" s="92"/>
      <c r="J4" s="92"/>
      <c r="K4" s="92"/>
      <c r="L4" s="92"/>
      <c r="M4" s="92"/>
      <c r="N4" s="92"/>
      <c r="O4" s="92"/>
      <c r="P4" s="92"/>
      <c r="Q4" s="92"/>
      <c r="R4" s="92"/>
      <c r="S4" s="92"/>
      <c r="T4" s="92"/>
      <c r="U4" s="82"/>
    </row>
    <row r="5" spans="2:21" ht="15" x14ac:dyDescent="0.25">
      <c r="B5" s="90"/>
      <c r="C5" s="90"/>
      <c r="D5" s="92">
        <v>2013</v>
      </c>
      <c r="E5" s="92">
        <v>2014</v>
      </c>
      <c r="F5" s="92">
        <v>2015</v>
      </c>
      <c r="G5" s="92">
        <v>2016</v>
      </c>
      <c r="H5" s="92">
        <v>2017</v>
      </c>
      <c r="I5" s="92"/>
      <c r="J5" s="92"/>
      <c r="K5" s="92"/>
      <c r="L5" s="92"/>
      <c r="M5" s="92"/>
      <c r="N5" s="92"/>
      <c r="O5" s="92"/>
      <c r="P5" s="92"/>
      <c r="Q5" s="92"/>
      <c r="R5" s="92"/>
      <c r="S5" s="92"/>
      <c r="T5" s="92"/>
      <c r="U5" s="82"/>
    </row>
    <row r="6" spans="2:21" s="69" customFormat="1" ht="6" customHeight="1" x14ac:dyDescent="0.25">
      <c r="B6" s="170"/>
      <c r="C6" s="170"/>
      <c r="D6" s="171"/>
      <c r="E6" s="171"/>
      <c r="F6" s="171"/>
      <c r="G6" s="171"/>
      <c r="H6" s="171"/>
      <c r="I6" s="92"/>
      <c r="J6" s="92"/>
      <c r="K6" s="92"/>
      <c r="L6" s="92"/>
      <c r="M6" s="92"/>
      <c r="N6" s="92"/>
      <c r="O6" s="92"/>
      <c r="P6" s="92"/>
      <c r="Q6" s="92"/>
      <c r="R6" s="92"/>
      <c r="S6" s="92"/>
      <c r="T6" s="92"/>
      <c r="U6" s="82"/>
    </row>
    <row r="7" spans="2:21" s="69" customFormat="1" ht="6" customHeight="1" x14ac:dyDescent="0.25">
      <c r="B7" s="146"/>
      <c r="C7" s="146"/>
      <c r="D7" s="92"/>
      <c r="E7" s="92"/>
      <c r="F7" s="92"/>
      <c r="G7" s="92"/>
      <c r="H7" s="92"/>
      <c r="I7" s="92"/>
      <c r="J7" s="92"/>
      <c r="K7" s="92"/>
      <c r="L7" s="92"/>
      <c r="M7" s="92"/>
      <c r="N7" s="92"/>
      <c r="O7" s="92"/>
      <c r="P7" s="92"/>
      <c r="Q7" s="92"/>
      <c r="R7" s="92"/>
      <c r="S7" s="92"/>
      <c r="T7" s="92"/>
      <c r="U7" s="82"/>
    </row>
    <row r="8" spans="2:21" ht="15" x14ac:dyDescent="0.25">
      <c r="B8" s="90" t="s">
        <v>16</v>
      </c>
      <c r="C8" s="90"/>
      <c r="D8" s="93">
        <v>5817000</v>
      </c>
      <c r="E8" s="93">
        <v>9965000</v>
      </c>
      <c r="F8" s="93">
        <v>11548000</v>
      </c>
      <c r="G8" s="93">
        <v>13536000</v>
      </c>
      <c r="H8" s="93">
        <v>15335000</v>
      </c>
      <c r="I8" s="92"/>
      <c r="J8" s="92"/>
      <c r="K8" s="92"/>
      <c r="L8" s="92"/>
      <c r="M8" s="92"/>
      <c r="N8" s="92"/>
      <c r="O8" s="92"/>
      <c r="P8" s="92"/>
      <c r="Q8" s="92"/>
      <c r="R8" s="92"/>
      <c r="S8" s="92"/>
      <c r="T8" s="92"/>
      <c r="U8" s="82"/>
    </row>
    <row r="9" spans="2:21" ht="15" x14ac:dyDescent="0.25">
      <c r="B9" s="90" t="s">
        <v>37</v>
      </c>
      <c r="C9" s="90"/>
      <c r="D9" s="93">
        <v>72638000</v>
      </c>
      <c r="E9" s="93">
        <v>75770000</v>
      </c>
      <c r="F9" s="93">
        <v>77105000</v>
      </c>
      <c r="G9" s="93">
        <v>77783000</v>
      </c>
      <c r="H9" s="93">
        <v>77875000</v>
      </c>
      <c r="I9" s="92"/>
      <c r="J9" s="92"/>
      <c r="K9" s="92"/>
      <c r="L9" s="92"/>
      <c r="M9" s="92"/>
      <c r="N9" s="92"/>
      <c r="O9" s="92"/>
      <c r="P9" s="92"/>
      <c r="Q9" s="92"/>
      <c r="R9" s="92"/>
      <c r="S9" s="92"/>
      <c r="T9" s="92"/>
      <c r="U9" s="82"/>
    </row>
    <row r="10" spans="2:21" ht="15" x14ac:dyDescent="0.25">
      <c r="B10" s="90" t="s">
        <v>20</v>
      </c>
      <c r="C10" s="90"/>
      <c r="D10" s="94"/>
      <c r="E10" s="94">
        <v>62.99</v>
      </c>
      <c r="F10" s="94">
        <v>60.45</v>
      </c>
      <c r="G10" s="94">
        <v>59.45</v>
      </c>
      <c r="H10" s="94">
        <v>58</v>
      </c>
      <c r="I10" s="92"/>
      <c r="J10" s="92"/>
      <c r="K10" s="92"/>
      <c r="L10" s="92"/>
      <c r="M10" s="92"/>
      <c r="N10" s="92"/>
      <c r="O10" s="92"/>
      <c r="P10" s="92"/>
      <c r="Q10" s="92"/>
      <c r="R10" s="92"/>
      <c r="S10" s="92"/>
      <c r="T10" s="92"/>
      <c r="U10" s="82"/>
    </row>
    <row r="11" spans="2:21" ht="15" x14ac:dyDescent="0.25">
      <c r="B11" s="90" t="s">
        <v>5</v>
      </c>
      <c r="C11" s="90"/>
      <c r="D11" s="93">
        <v>14028000</v>
      </c>
      <c r="E11" s="93">
        <v>13855000</v>
      </c>
      <c r="F11" s="93">
        <v>13774000</v>
      </c>
      <c r="G11" s="93">
        <v>11949000</v>
      </c>
      <c r="H11" s="93">
        <v>9366000</v>
      </c>
      <c r="I11" s="92"/>
      <c r="J11" s="92"/>
      <c r="K11" s="92"/>
      <c r="L11" s="92"/>
      <c r="M11" s="92"/>
      <c r="N11" s="92"/>
      <c r="O11" s="92"/>
      <c r="P11" s="92"/>
      <c r="Q11" s="92"/>
      <c r="R11" s="92"/>
      <c r="S11" s="92"/>
      <c r="T11" s="92"/>
      <c r="U11" s="82"/>
    </row>
    <row r="12" spans="2:21" s="69" customFormat="1" ht="6" customHeight="1" thickBot="1" x14ac:dyDescent="0.3">
      <c r="B12" s="172"/>
      <c r="C12" s="172"/>
      <c r="D12" s="173"/>
      <c r="E12" s="173"/>
      <c r="F12" s="173"/>
      <c r="G12" s="173"/>
      <c r="H12" s="173"/>
      <c r="I12" s="95"/>
      <c r="J12" s="95"/>
      <c r="K12" s="95"/>
      <c r="L12" s="95"/>
      <c r="M12" s="95"/>
      <c r="N12" s="95"/>
      <c r="O12" s="95"/>
      <c r="P12" s="95"/>
      <c r="Q12" s="95"/>
      <c r="R12" s="95"/>
      <c r="S12" s="95"/>
      <c r="T12" s="95"/>
      <c r="U12" s="89"/>
    </row>
    <row r="13" spans="2:21" s="69" customFormat="1" ht="6" customHeight="1" thickTop="1" x14ac:dyDescent="0.25">
      <c r="B13" s="146"/>
      <c r="C13" s="146"/>
      <c r="D13" s="95"/>
      <c r="E13" s="95"/>
      <c r="F13" s="95"/>
      <c r="G13" s="95"/>
      <c r="H13" s="95"/>
      <c r="I13" s="95"/>
      <c r="J13" s="95"/>
      <c r="K13" s="95"/>
      <c r="L13" s="95"/>
      <c r="M13" s="95"/>
      <c r="N13" s="95"/>
      <c r="O13" s="95"/>
      <c r="P13" s="95"/>
      <c r="Q13" s="95"/>
      <c r="R13" s="95"/>
      <c r="S13" s="95"/>
      <c r="T13" s="95"/>
      <c r="U13" s="89"/>
    </row>
    <row r="14" spans="2:21" s="69" customFormat="1" ht="15" x14ac:dyDescent="0.25">
      <c r="B14" s="146"/>
      <c r="C14" s="146"/>
      <c r="D14" s="95"/>
      <c r="E14" s="95"/>
      <c r="F14" s="95"/>
      <c r="G14" s="95"/>
      <c r="H14" s="95"/>
      <c r="I14" s="95"/>
      <c r="J14" s="95"/>
      <c r="K14" s="95"/>
      <c r="L14" s="95"/>
      <c r="M14" s="95"/>
      <c r="N14" s="95"/>
      <c r="O14" s="95"/>
      <c r="P14" s="95"/>
      <c r="Q14" s="95"/>
      <c r="R14" s="95"/>
      <c r="S14" s="95"/>
      <c r="T14" s="95"/>
      <c r="U14" s="89"/>
    </row>
    <row r="15" spans="2:21" s="69" customFormat="1" ht="6" customHeight="1" x14ac:dyDescent="0.25">
      <c r="B15" s="170"/>
      <c r="C15" s="170"/>
      <c r="D15" s="174"/>
      <c r="E15" s="174"/>
      <c r="F15" s="174"/>
      <c r="G15" s="174"/>
      <c r="H15" s="174"/>
      <c r="I15" s="174"/>
      <c r="J15" s="174"/>
      <c r="K15" s="174"/>
      <c r="L15" s="174"/>
      <c r="M15" s="174"/>
      <c r="N15" s="174"/>
      <c r="O15" s="174"/>
      <c r="P15" s="174"/>
      <c r="Q15" s="174"/>
      <c r="R15" s="174"/>
      <c r="S15" s="174"/>
      <c r="T15" s="95"/>
      <c r="U15" s="89"/>
    </row>
    <row r="16" spans="2:21" s="69" customFormat="1" ht="6" customHeight="1" x14ac:dyDescent="0.25">
      <c r="B16" s="146"/>
      <c r="C16" s="146"/>
      <c r="D16" s="95"/>
      <c r="E16" s="95"/>
      <c r="F16" s="95"/>
      <c r="G16" s="95"/>
      <c r="H16" s="95"/>
      <c r="I16" s="95"/>
      <c r="J16" s="95"/>
      <c r="K16" s="95"/>
      <c r="L16" s="95"/>
      <c r="M16" s="95"/>
      <c r="N16" s="95"/>
      <c r="O16" s="95"/>
      <c r="P16" s="95"/>
      <c r="Q16" s="95"/>
      <c r="R16" s="95"/>
      <c r="S16" s="95"/>
      <c r="T16" s="95"/>
      <c r="U16" s="89"/>
    </row>
    <row r="17" spans="2:21" ht="15" x14ac:dyDescent="0.25">
      <c r="B17" s="90"/>
      <c r="C17" s="90"/>
      <c r="D17" s="92" t="s">
        <v>91</v>
      </c>
      <c r="E17" s="92" t="s">
        <v>92</v>
      </c>
      <c r="F17" s="92" t="s">
        <v>94</v>
      </c>
      <c r="G17" s="92" t="s">
        <v>95</v>
      </c>
      <c r="H17" s="92" t="s">
        <v>96</v>
      </c>
      <c r="I17" s="92" t="s">
        <v>97</v>
      </c>
      <c r="J17" s="92" t="s">
        <v>93</v>
      </c>
      <c r="K17" s="92" t="s">
        <v>103</v>
      </c>
      <c r="L17" s="92" t="s">
        <v>104</v>
      </c>
      <c r="M17" s="92" t="s">
        <v>105</v>
      </c>
      <c r="N17" s="92" t="s">
        <v>106</v>
      </c>
      <c r="O17" s="92" t="s">
        <v>98</v>
      </c>
      <c r="P17" s="92" t="s">
        <v>99</v>
      </c>
      <c r="Q17" s="92" t="s">
        <v>100</v>
      </c>
      <c r="R17" s="92" t="s">
        <v>101</v>
      </c>
      <c r="S17" s="92" t="s">
        <v>102</v>
      </c>
      <c r="T17" s="92"/>
      <c r="U17" s="82"/>
    </row>
    <row r="18" spans="2:21" s="69" customFormat="1" ht="6" customHeight="1" x14ac:dyDescent="0.25">
      <c r="B18" s="170"/>
      <c r="C18" s="170"/>
      <c r="D18" s="171"/>
      <c r="E18" s="171"/>
      <c r="F18" s="171"/>
      <c r="G18" s="171"/>
      <c r="H18" s="171"/>
      <c r="I18" s="171"/>
      <c r="J18" s="171"/>
      <c r="K18" s="171"/>
      <c r="L18" s="171"/>
      <c r="M18" s="171"/>
      <c r="N18" s="171"/>
      <c r="O18" s="171"/>
      <c r="P18" s="171"/>
      <c r="Q18" s="171"/>
      <c r="R18" s="171"/>
      <c r="S18" s="171"/>
      <c r="T18" s="92"/>
      <c r="U18" s="82"/>
    </row>
    <row r="19" spans="2:21" s="69" customFormat="1" ht="6" customHeight="1" x14ac:dyDescent="0.25">
      <c r="B19" s="146"/>
      <c r="C19" s="146"/>
      <c r="D19" s="92"/>
      <c r="E19" s="92"/>
      <c r="F19" s="92"/>
      <c r="G19" s="92"/>
      <c r="H19" s="92"/>
      <c r="I19" s="92"/>
      <c r="J19" s="92"/>
      <c r="K19" s="92"/>
      <c r="L19" s="92"/>
      <c r="M19" s="92"/>
      <c r="N19" s="92"/>
      <c r="O19" s="92"/>
      <c r="P19" s="92"/>
      <c r="Q19" s="92"/>
      <c r="R19" s="92"/>
      <c r="S19" s="92"/>
      <c r="T19" s="92"/>
      <c r="U19" s="82"/>
    </row>
    <row r="20" spans="2:21" ht="15" x14ac:dyDescent="0.25">
      <c r="B20" s="90" t="s">
        <v>107</v>
      </c>
      <c r="C20" s="90"/>
      <c r="D20" s="93">
        <v>73291000</v>
      </c>
      <c r="E20" s="93">
        <v>74332000</v>
      </c>
      <c r="F20" s="93">
        <v>75105000</v>
      </c>
      <c r="G20" s="93">
        <v>75770000</v>
      </c>
      <c r="H20" s="93">
        <v>76175000</v>
      </c>
      <c r="I20" s="93">
        <v>76541000</v>
      </c>
      <c r="J20" s="93">
        <v>76671000</v>
      </c>
      <c r="K20" s="93">
        <v>77105000</v>
      </c>
      <c r="L20" s="93">
        <v>77138000</v>
      </c>
      <c r="M20" s="93">
        <v>77295000</v>
      </c>
      <c r="N20" s="93">
        <v>77388000</v>
      </c>
      <c r="O20" s="93">
        <v>77783000</v>
      </c>
      <c r="P20" s="93">
        <v>77349000</v>
      </c>
      <c r="Q20" s="93">
        <v>77401000</v>
      </c>
      <c r="R20" s="93">
        <v>77415000</v>
      </c>
      <c r="S20" s="93">
        <v>77875000</v>
      </c>
      <c r="T20" s="92"/>
      <c r="U20" s="82"/>
    </row>
    <row r="21" spans="2:21" ht="15" x14ac:dyDescent="0.25">
      <c r="B21" s="90" t="s">
        <v>90</v>
      </c>
      <c r="C21" s="90"/>
      <c r="D21" s="92">
        <v>64.17</v>
      </c>
      <c r="E21" s="92">
        <v>59.76</v>
      </c>
      <c r="F21" s="92">
        <v>60.12</v>
      </c>
      <c r="G21" s="92">
        <v>58.43</v>
      </c>
      <c r="H21" s="92">
        <v>57.05</v>
      </c>
      <c r="I21" s="92">
        <v>57.84</v>
      </c>
      <c r="J21" s="92">
        <v>57.05</v>
      </c>
      <c r="K21" s="92">
        <v>55.58</v>
      </c>
      <c r="L21" s="92">
        <v>55.06</v>
      </c>
      <c r="M21" s="92">
        <v>54.97</v>
      </c>
      <c r="N21" s="92">
        <v>54.67</v>
      </c>
      <c r="O21" s="92">
        <v>53.59</v>
      </c>
      <c r="P21" s="92">
        <v>52.77</v>
      </c>
      <c r="Q21" s="92">
        <v>52.79</v>
      </c>
      <c r="R21" s="92">
        <v>52.75</v>
      </c>
      <c r="S21" s="92">
        <v>51.72</v>
      </c>
      <c r="T21" s="92"/>
      <c r="U21" s="82"/>
    </row>
    <row r="22" spans="2:21" ht="15" x14ac:dyDescent="0.25">
      <c r="B22" s="90" t="s">
        <v>108</v>
      </c>
      <c r="C22" s="90"/>
      <c r="D22" s="92"/>
      <c r="E22" s="92"/>
      <c r="F22" s="92"/>
      <c r="G22" s="198">
        <f>(D21*D20+E21*E20+F21*F20+G21*G20)/SUM(D20:G20)</f>
        <v>60.59577447755094</v>
      </c>
      <c r="H22" s="92"/>
      <c r="I22" s="92"/>
      <c r="J22" s="92"/>
      <c r="K22" s="198">
        <f>(H21*H20+I21*I20+J21*J20+K21*K20)/SUM(H20:K20)</f>
        <v>56.877476867259176</v>
      </c>
      <c r="L22" s="92"/>
      <c r="M22" s="92"/>
      <c r="N22" s="92"/>
      <c r="O22" s="198">
        <f>(L21*L20+M21*M20+N21*N20+O21*O20)/SUM(L20:O20)</f>
        <v>54.570733453056164</v>
      </c>
      <c r="P22" s="92"/>
      <c r="Q22" s="92"/>
      <c r="R22" s="92"/>
      <c r="S22" s="198">
        <f>(P21*P20+Q21*Q20+R21*R20+S21*S20)/SUM(P20:S20)</f>
        <v>52.506262966068896</v>
      </c>
      <c r="T22" s="92"/>
      <c r="U22" s="82"/>
    </row>
    <row r="23" spans="2:21" s="69" customFormat="1" ht="6" customHeight="1" thickBot="1" x14ac:dyDescent="0.3">
      <c r="B23" s="172"/>
      <c r="C23" s="172"/>
      <c r="D23" s="175"/>
      <c r="E23" s="175"/>
      <c r="F23" s="175"/>
      <c r="G23" s="176"/>
      <c r="H23" s="175"/>
      <c r="I23" s="175"/>
      <c r="J23" s="175"/>
      <c r="K23" s="176"/>
      <c r="L23" s="175"/>
      <c r="M23" s="175"/>
      <c r="N23" s="175"/>
      <c r="O23" s="176"/>
      <c r="P23" s="175"/>
      <c r="Q23" s="175"/>
      <c r="R23" s="175"/>
      <c r="S23" s="176"/>
      <c r="T23" s="92"/>
      <c r="U23" s="82"/>
    </row>
    <row r="24" spans="2:21" ht="6" customHeight="1" thickTop="1" x14ac:dyDescent="0.25">
      <c r="B24" s="90"/>
      <c r="C24" s="90"/>
      <c r="D24" s="92"/>
      <c r="E24" s="92"/>
      <c r="F24" s="92"/>
      <c r="G24" s="92"/>
      <c r="H24" s="92"/>
      <c r="I24" s="92"/>
      <c r="J24" s="92"/>
      <c r="K24" s="92"/>
      <c r="L24" s="92"/>
      <c r="M24" s="92"/>
      <c r="N24" s="92"/>
      <c r="O24" s="92"/>
      <c r="P24" s="92"/>
      <c r="Q24" s="92"/>
      <c r="R24" s="92"/>
      <c r="S24" s="92"/>
      <c r="T24" s="92"/>
      <c r="U24" s="82"/>
    </row>
    <row r="25" spans="2:21" ht="15" x14ac:dyDescent="0.25">
      <c r="B25" s="90" t="s">
        <v>109</v>
      </c>
      <c r="C25" s="90"/>
      <c r="D25" s="92"/>
      <c r="E25" s="92"/>
      <c r="F25" s="92"/>
      <c r="G25" s="92"/>
      <c r="H25" s="92"/>
      <c r="I25" s="92"/>
      <c r="J25" s="92"/>
      <c r="K25" s="92"/>
      <c r="L25" s="92"/>
      <c r="M25" s="92"/>
      <c r="N25" s="92"/>
      <c r="O25" s="92"/>
      <c r="P25" s="92"/>
      <c r="Q25" s="92"/>
      <c r="R25" s="92"/>
      <c r="S25" s="92"/>
      <c r="T25" s="92"/>
      <c r="U25" s="82"/>
    </row>
    <row r="26" spans="2:21" ht="15" x14ac:dyDescent="0.25">
      <c r="B26" s="90"/>
      <c r="C26" s="90"/>
      <c r="D26" s="92"/>
      <c r="E26" s="92"/>
      <c r="F26" s="92"/>
      <c r="G26" s="92"/>
      <c r="H26" s="92"/>
      <c r="I26" s="92"/>
      <c r="J26" s="92"/>
      <c r="K26" s="92"/>
      <c r="L26" s="92"/>
      <c r="M26" s="92"/>
      <c r="N26" s="92"/>
      <c r="O26" s="92"/>
      <c r="P26" s="92"/>
      <c r="Q26" s="92"/>
      <c r="R26" s="92"/>
      <c r="S26" s="92"/>
      <c r="T26" s="92"/>
      <c r="U26" s="82"/>
    </row>
    <row r="27" spans="2:21" ht="15" x14ac:dyDescent="0.25">
      <c r="B27" s="82"/>
      <c r="C27" s="82"/>
      <c r="D27" s="96"/>
      <c r="E27" s="96"/>
      <c r="F27" s="96"/>
      <c r="G27" s="96"/>
      <c r="H27" s="96"/>
      <c r="I27" s="96"/>
      <c r="J27" s="96"/>
      <c r="K27" s="96"/>
      <c r="L27" s="96"/>
      <c r="M27" s="96"/>
      <c r="N27" s="96"/>
      <c r="O27" s="96"/>
      <c r="P27" s="96"/>
      <c r="Q27" s="96"/>
      <c r="R27" s="96"/>
      <c r="S27" s="96"/>
      <c r="T27" s="96"/>
      <c r="U27" s="82"/>
    </row>
    <row r="28" spans="2:21" ht="15" x14ac:dyDescent="0.25">
      <c r="B28" s="82"/>
      <c r="C28" s="69"/>
      <c r="D28" s="69"/>
      <c r="E28" s="69"/>
      <c r="F28" s="69"/>
      <c r="G28" s="69"/>
      <c r="H28" s="69"/>
      <c r="I28" s="69"/>
      <c r="J28" s="96"/>
      <c r="K28" s="96"/>
      <c r="L28" s="96"/>
      <c r="M28" s="96"/>
      <c r="N28" s="96"/>
      <c r="O28" s="96"/>
      <c r="P28" s="96"/>
      <c r="Q28" s="96"/>
      <c r="R28" s="96"/>
      <c r="S28" s="96"/>
      <c r="T28" s="96"/>
      <c r="U28" s="82"/>
    </row>
    <row r="29" spans="2:21" ht="18.75" x14ac:dyDescent="0.3">
      <c r="C29" s="210"/>
      <c r="D29" s="210"/>
      <c r="E29" s="210"/>
      <c r="F29" s="210"/>
      <c r="G29" s="210"/>
      <c r="H29" s="210"/>
      <c r="I29" s="210"/>
    </row>
    <row r="30" spans="2:21" ht="15" x14ac:dyDescent="0.25">
      <c r="C30" s="5"/>
      <c r="D30" s="23"/>
      <c r="E30" s="23"/>
      <c r="F30" s="23"/>
      <c r="G30" s="23"/>
      <c r="H30" s="149"/>
      <c r="I30" s="149"/>
    </row>
    <row r="31" spans="2:21" ht="15" x14ac:dyDescent="0.25">
      <c r="C31" s="5"/>
      <c r="D31" s="5"/>
      <c r="E31" s="5"/>
      <c r="F31" s="5"/>
      <c r="G31" s="5"/>
      <c r="H31" s="5"/>
      <c r="I31" s="5"/>
    </row>
    <row r="32" spans="2:21" ht="15" x14ac:dyDescent="0.25">
      <c r="C32" s="5"/>
      <c r="D32" s="158"/>
      <c r="E32" s="159"/>
      <c r="F32" s="159"/>
      <c r="G32" s="159"/>
      <c r="H32" s="159"/>
      <c r="I32" s="159"/>
    </row>
    <row r="33" spans="3:9" ht="15" x14ac:dyDescent="0.25">
      <c r="C33" s="5"/>
      <c r="D33" s="5"/>
      <c r="E33" s="5"/>
      <c r="F33" s="5"/>
      <c r="G33" s="5"/>
      <c r="H33" s="5"/>
      <c r="I33" s="5"/>
    </row>
    <row r="34" spans="3:9" ht="15" x14ac:dyDescent="0.25">
      <c r="C34" s="5"/>
      <c r="D34" s="5"/>
      <c r="E34" s="5"/>
      <c r="F34" s="5"/>
      <c r="G34" s="5"/>
      <c r="H34" s="160"/>
      <c r="I34" s="160"/>
    </row>
    <row r="35" spans="3:9" ht="15" x14ac:dyDescent="0.25">
      <c r="C35" s="5"/>
      <c r="D35" s="161"/>
      <c r="E35" s="162"/>
      <c r="F35" s="162"/>
      <c r="G35" s="162"/>
      <c r="H35" s="162"/>
      <c r="I35" s="162"/>
    </row>
    <row r="36" spans="3:9" ht="15" x14ac:dyDescent="0.25">
      <c r="C36" s="5"/>
      <c r="D36" s="161"/>
      <c r="E36" s="162"/>
      <c r="F36" s="162"/>
      <c r="G36" s="162"/>
      <c r="H36" s="162"/>
      <c r="I36" s="162"/>
    </row>
    <row r="37" spans="3:9" ht="15" x14ac:dyDescent="0.25">
      <c r="C37" s="5"/>
      <c r="D37" s="161"/>
      <c r="E37" s="163"/>
      <c r="F37" s="163"/>
      <c r="G37" s="163"/>
      <c r="H37" s="163"/>
      <c r="I37" s="163"/>
    </row>
    <row r="38" spans="3:9" ht="15" x14ac:dyDescent="0.25">
      <c r="C38" s="5"/>
      <c r="D38" s="161"/>
      <c r="E38" s="162"/>
      <c r="F38" s="162"/>
      <c r="G38" s="162"/>
      <c r="H38" s="162"/>
      <c r="I38" s="162"/>
    </row>
    <row r="39" spans="3:9" s="69" customFormat="1" ht="15" x14ac:dyDescent="0.25">
      <c r="C39" s="5"/>
      <c r="D39" s="161"/>
      <c r="E39" s="5"/>
      <c r="F39" s="164"/>
      <c r="G39" s="164"/>
      <c r="H39" s="164"/>
      <c r="I39" s="164"/>
    </row>
    <row r="40" spans="3:9" s="69" customFormat="1" ht="15" x14ac:dyDescent="0.25">
      <c r="C40" s="5"/>
      <c r="D40" s="161"/>
      <c r="E40" s="5"/>
      <c r="F40" s="164"/>
      <c r="G40" s="164"/>
      <c r="H40" s="164"/>
      <c r="I40" s="164"/>
    </row>
    <row r="41" spans="3:9" s="69" customFormat="1" ht="15" x14ac:dyDescent="0.25">
      <c r="C41" s="5"/>
      <c r="D41" s="161"/>
      <c r="E41" s="5"/>
      <c r="F41" s="164"/>
      <c r="G41" s="164"/>
      <c r="H41" s="164"/>
      <c r="I41" s="164"/>
    </row>
    <row r="42" spans="3:9" s="69" customFormat="1" ht="15" x14ac:dyDescent="0.25">
      <c r="C42" s="5"/>
      <c r="D42" s="161"/>
      <c r="E42" s="5"/>
      <c r="F42" s="164"/>
      <c r="G42" s="164"/>
      <c r="H42" s="164"/>
      <c r="I42" s="164"/>
    </row>
    <row r="43" spans="3:9" x14ac:dyDescent="0.35">
      <c r="C43" s="5"/>
      <c r="D43" s="161"/>
      <c r="E43" s="5"/>
      <c r="F43" s="165"/>
      <c r="G43" s="165"/>
      <c r="H43" s="165"/>
      <c r="I43" s="165"/>
    </row>
    <row r="44" spans="3:9" x14ac:dyDescent="0.35">
      <c r="C44" s="5"/>
      <c r="D44" s="5"/>
      <c r="E44" s="5"/>
      <c r="F44" s="166"/>
      <c r="G44" s="167"/>
      <c r="H44" s="167"/>
      <c r="I44" s="167"/>
    </row>
    <row r="45" spans="3:9" x14ac:dyDescent="0.35">
      <c r="C45" s="5"/>
      <c r="D45" s="5"/>
      <c r="E45" s="5"/>
      <c r="F45" s="168"/>
      <c r="G45" s="169"/>
      <c r="H45" s="169"/>
      <c r="I45" s="169"/>
    </row>
    <row r="46" spans="3:9" x14ac:dyDescent="0.35">
      <c r="C46" s="5"/>
      <c r="D46" s="5"/>
      <c r="E46" s="5"/>
      <c r="F46" s="113"/>
      <c r="G46" s="113"/>
      <c r="H46" s="151"/>
      <c r="I46" s="151"/>
    </row>
    <row r="47" spans="3:9" x14ac:dyDescent="0.35">
      <c r="C47" s="5"/>
      <c r="D47" s="5"/>
      <c r="E47" s="5"/>
      <c r="F47" s="113"/>
      <c r="G47" s="113"/>
      <c r="H47" s="151"/>
      <c r="I47" s="151"/>
    </row>
  </sheetData>
  <mergeCells count="1">
    <mergeCell ref="C29:I29"/>
  </mergeCells>
  <pageMargins left="0.7" right="0.7" top="0.75" bottom="0.75" header="0.3" footer="0.3"/>
  <pageSetup scale="80" orientation="landscape" r:id="rId1"/>
  <colBreaks count="1" manualBreakCount="1">
    <brk id="11" max="27"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view="pageBreakPreview" zoomScale="60" zoomScaleNormal="115" workbookViewId="0">
      <selection activeCell="E73" sqref="E73"/>
    </sheetView>
  </sheetViews>
  <sheetFormatPr defaultRowHeight="14.5" x14ac:dyDescent="0.35"/>
  <cols>
    <col min="1" max="1" width="9.1796875" style="69"/>
    <col min="2" max="2" width="37.453125" customWidth="1"/>
    <col min="3" max="3" width="1.7265625" customWidth="1"/>
    <col min="4" max="7" width="14" customWidth="1"/>
  </cols>
  <sheetData>
    <row r="1" spans="2:8" s="69" customFormat="1" ht="15" x14ac:dyDescent="0.25"/>
    <row r="2" spans="2:8" s="69" customFormat="1" ht="18.75" x14ac:dyDescent="0.3">
      <c r="B2" s="153" t="s">
        <v>171</v>
      </c>
      <c r="C2" s="153"/>
      <c r="D2" s="153"/>
      <c r="E2" s="153"/>
      <c r="F2" s="153"/>
      <c r="G2" s="153"/>
    </row>
    <row r="3" spans="2:8" s="69" customFormat="1" ht="6" customHeight="1" x14ac:dyDescent="0.25">
      <c r="B3" s="73"/>
      <c r="C3" s="73"/>
      <c r="D3" s="73"/>
      <c r="E3" s="73"/>
      <c r="F3" s="73"/>
      <c r="G3" s="73"/>
    </row>
    <row r="4" spans="2:8" ht="6" customHeight="1" x14ac:dyDescent="0.25">
      <c r="B4" s="90"/>
      <c r="C4" s="90"/>
      <c r="D4" s="90"/>
      <c r="E4" s="90"/>
      <c r="F4" s="90"/>
      <c r="G4" s="90"/>
      <c r="H4" s="90"/>
    </row>
    <row r="5" spans="2:8" ht="15" x14ac:dyDescent="0.25">
      <c r="B5" s="90"/>
      <c r="C5" s="90"/>
      <c r="D5" s="90">
        <v>2014</v>
      </c>
      <c r="E5" s="90">
        <v>2015</v>
      </c>
      <c r="F5" s="90">
        <v>2016</v>
      </c>
      <c r="G5" s="90">
        <v>2017</v>
      </c>
      <c r="H5" s="90"/>
    </row>
    <row r="6" spans="2:8" s="69" customFormat="1" ht="6" customHeight="1" x14ac:dyDescent="0.25">
      <c r="B6" s="170"/>
      <c r="C6" s="170"/>
      <c r="D6" s="170"/>
      <c r="E6" s="170"/>
      <c r="F6" s="170"/>
      <c r="G6" s="170"/>
      <c r="H6" s="146"/>
    </row>
    <row r="7" spans="2:8" s="69" customFormat="1" ht="6" customHeight="1" x14ac:dyDescent="0.25">
      <c r="B7" s="146"/>
      <c r="C7" s="146"/>
      <c r="D7" s="146"/>
      <c r="E7" s="146"/>
      <c r="F7" s="146"/>
      <c r="G7" s="146"/>
      <c r="H7" s="146"/>
    </row>
    <row r="8" spans="2:8" s="69" customFormat="1" ht="15" x14ac:dyDescent="0.25">
      <c r="B8" s="90" t="s">
        <v>86</v>
      </c>
      <c r="C8" s="90"/>
      <c r="D8" s="91">
        <v>159.86000000000001</v>
      </c>
      <c r="E8" s="91">
        <v>152.63</v>
      </c>
      <c r="F8" s="91">
        <v>144.32</v>
      </c>
      <c r="G8" s="91">
        <v>135.99</v>
      </c>
      <c r="H8" s="90"/>
    </row>
    <row r="9" spans="2:8" s="69" customFormat="1" ht="15" x14ac:dyDescent="0.25">
      <c r="B9" s="90" t="s">
        <v>89</v>
      </c>
      <c r="C9" s="90"/>
      <c r="D9" s="97">
        <v>2.87</v>
      </c>
      <c r="E9" s="97">
        <v>2.98</v>
      </c>
      <c r="F9" s="97">
        <v>3.07</v>
      </c>
      <c r="G9" s="97">
        <v>3.13</v>
      </c>
      <c r="H9" s="90"/>
    </row>
    <row r="10" spans="2:8" ht="6" customHeight="1" thickBot="1" x14ac:dyDescent="0.3">
      <c r="B10" s="67"/>
      <c r="C10" s="67"/>
      <c r="D10" s="67"/>
      <c r="E10" s="67"/>
      <c r="F10" s="67"/>
      <c r="G10" s="67"/>
      <c r="H10" s="82"/>
    </row>
    <row r="11" spans="2:8" ht="6" customHeight="1" thickTop="1" x14ac:dyDescent="0.25">
      <c r="B11" s="82"/>
      <c r="C11" s="82"/>
      <c r="D11" s="82"/>
      <c r="E11" s="82"/>
      <c r="F11" s="82"/>
      <c r="G11" s="82"/>
      <c r="H11" s="82"/>
    </row>
  </sheetData>
  <pageMargins left="0.7" right="0.7" top="0.75" bottom="0.7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BreakPreview" zoomScale="60" zoomScaleNormal="130" workbookViewId="0">
      <selection activeCell="G12" sqref="G12:G14"/>
    </sheetView>
  </sheetViews>
  <sheetFormatPr defaultRowHeight="14.5" x14ac:dyDescent="0.35"/>
  <cols>
    <col min="1" max="1" width="36.453125" customWidth="1"/>
    <col min="2" max="2" width="1.7265625" customWidth="1"/>
    <col min="3" max="3" width="17.26953125" style="9" bestFit="1" customWidth="1"/>
    <col min="4" max="4" width="16.54296875" bestFit="1" customWidth="1"/>
    <col min="5" max="6" width="17.26953125" bestFit="1" customWidth="1"/>
    <col min="7" max="7" width="17.453125" bestFit="1" customWidth="1"/>
  </cols>
  <sheetData>
    <row r="1" spans="1:8" s="69" customFormat="1" ht="15" x14ac:dyDescent="0.25"/>
    <row r="2" spans="1:8" s="69" customFormat="1" ht="18.75" x14ac:dyDescent="0.3">
      <c r="A2" s="153" t="s">
        <v>172</v>
      </c>
      <c r="B2" s="153"/>
      <c r="C2" s="153"/>
      <c r="D2" s="153"/>
      <c r="E2" s="153"/>
      <c r="F2" s="153"/>
      <c r="G2" s="153"/>
    </row>
    <row r="3" spans="1:8" s="69" customFormat="1" ht="6" customHeight="1" x14ac:dyDescent="0.25">
      <c r="A3" s="73"/>
      <c r="B3" s="73"/>
      <c r="C3" s="73"/>
      <c r="D3" s="73"/>
      <c r="E3" s="73"/>
      <c r="F3" s="73"/>
      <c r="G3" s="73"/>
    </row>
    <row r="4" spans="1:8" ht="6" customHeight="1" x14ac:dyDescent="0.25"/>
    <row r="5" spans="1:8" ht="15" x14ac:dyDescent="0.25">
      <c r="A5" s="98"/>
      <c r="B5" s="98"/>
      <c r="C5" s="98">
        <v>2013</v>
      </c>
      <c r="D5" s="98">
        <v>2014</v>
      </c>
      <c r="E5" s="98">
        <v>2015</v>
      </c>
      <c r="F5" s="98">
        <v>2016</v>
      </c>
      <c r="G5" s="98">
        <v>2017</v>
      </c>
      <c r="H5" s="98"/>
    </row>
    <row r="6" spans="1:8" s="69" customFormat="1" ht="6" customHeight="1" x14ac:dyDescent="0.25">
      <c r="A6" s="125"/>
      <c r="B6" s="125"/>
      <c r="C6" s="125"/>
      <c r="D6" s="125"/>
      <c r="E6" s="125"/>
      <c r="F6" s="125"/>
      <c r="G6" s="125"/>
      <c r="H6" s="98"/>
    </row>
    <row r="7" spans="1:8" s="69" customFormat="1" ht="6" customHeight="1" x14ac:dyDescent="0.25">
      <c r="A7" s="98"/>
      <c r="B7" s="98"/>
      <c r="C7" s="98"/>
      <c r="D7" s="98"/>
      <c r="E7" s="98"/>
      <c r="F7" s="98"/>
      <c r="G7" s="98"/>
      <c r="H7" s="98"/>
    </row>
    <row r="8" spans="1:8" ht="15" x14ac:dyDescent="0.25">
      <c r="A8" s="98" t="s">
        <v>17</v>
      </c>
      <c r="B8" s="98"/>
      <c r="C8" s="99">
        <v>11913000</v>
      </c>
      <c r="D8" s="99">
        <v>15691000</v>
      </c>
      <c r="E8" s="99">
        <v>16704000</v>
      </c>
      <c r="F8" s="99">
        <v>18797000</v>
      </c>
      <c r="G8" s="99">
        <v>20204000</v>
      </c>
      <c r="H8" s="99"/>
    </row>
    <row r="9" spans="1:8" ht="15" x14ac:dyDescent="0.25">
      <c r="A9" s="98" t="s">
        <v>14</v>
      </c>
      <c r="B9" s="98"/>
      <c r="C9" s="100">
        <v>4945000000</v>
      </c>
      <c r="D9" s="100">
        <v>6986000000</v>
      </c>
      <c r="E9" s="100">
        <v>7553000000</v>
      </c>
      <c r="F9" s="100">
        <v>8553000000</v>
      </c>
      <c r="G9" s="100">
        <v>9380000000</v>
      </c>
      <c r="H9" s="98"/>
    </row>
    <row r="10" spans="1:8" ht="15" x14ac:dyDescent="0.25">
      <c r="A10" s="98" t="s">
        <v>18</v>
      </c>
      <c r="B10" s="98"/>
      <c r="C10" s="99">
        <v>20424000</v>
      </c>
      <c r="D10" s="99">
        <v>23817000</v>
      </c>
      <c r="E10" s="99">
        <v>27604000</v>
      </c>
      <c r="F10" s="99">
        <v>30484000</v>
      </c>
      <c r="G10" s="99">
        <v>32596000</v>
      </c>
      <c r="H10" s="99"/>
    </row>
    <row r="11" spans="1:8" ht="15" x14ac:dyDescent="0.25">
      <c r="A11" s="98" t="s">
        <v>15</v>
      </c>
      <c r="B11" s="98"/>
      <c r="C11" s="100">
        <v>12997000000</v>
      </c>
      <c r="D11" s="100">
        <v>14131000000</v>
      </c>
      <c r="E11" s="100">
        <v>15795000000</v>
      </c>
      <c r="F11" s="100">
        <v>17365000000</v>
      </c>
      <c r="G11" s="100">
        <v>18371000000</v>
      </c>
      <c r="H11" s="98"/>
    </row>
    <row r="12" spans="1:8" ht="15" x14ac:dyDescent="0.25">
      <c r="A12" s="98" t="s">
        <v>6</v>
      </c>
      <c r="B12" s="98"/>
      <c r="C12" s="49"/>
      <c r="D12" s="49"/>
      <c r="E12" s="49"/>
      <c r="F12" s="49"/>
      <c r="G12" s="49">
        <v>1102000000</v>
      </c>
      <c r="H12" s="98"/>
    </row>
    <row r="13" spans="1:8" ht="15" x14ac:dyDescent="0.25">
      <c r="A13" s="98" t="s">
        <v>5</v>
      </c>
      <c r="B13" s="98"/>
      <c r="C13" s="147">
        <v>9313000</v>
      </c>
      <c r="D13" s="147">
        <v>11517000</v>
      </c>
      <c r="E13" s="147">
        <v>13956000</v>
      </c>
      <c r="F13" s="99">
        <v>17215000</v>
      </c>
      <c r="G13" s="147">
        <v>13870000</v>
      </c>
      <c r="H13" s="98"/>
    </row>
    <row r="14" spans="1:8" ht="15" x14ac:dyDescent="0.25">
      <c r="A14" s="98" t="s">
        <v>32</v>
      </c>
      <c r="B14" s="98"/>
      <c r="C14" s="99"/>
      <c r="D14" s="101"/>
      <c r="E14" s="101"/>
      <c r="F14" s="101"/>
      <c r="G14" s="147">
        <f t="shared" ref="G14" si="0">(G13+F13)/2</f>
        <v>15542500</v>
      </c>
      <c r="H14" s="98"/>
    </row>
    <row r="15" spans="1:8" ht="15" x14ac:dyDescent="0.25">
      <c r="A15" s="98" t="s">
        <v>62</v>
      </c>
      <c r="B15" s="98"/>
      <c r="C15" s="50"/>
      <c r="D15" s="50"/>
      <c r="E15" s="50"/>
      <c r="F15" s="50"/>
      <c r="G15" s="50">
        <v>1102000000</v>
      </c>
      <c r="H15" s="98"/>
    </row>
    <row r="16" spans="1:8" ht="6" customHeight="1" thickBot="1" x14ac:dyDescent="0.3">
      <c r="A16" s="72"/>
      <c r="B16" s="72"/>
      <c r="C16" s="72"/>
      <c r="D16" s="72"/>
      <c r="E16" s="72"/>
      <c r="F16" s="72"/>
      <c r="G16" s="72"/>
    </row>
    <row r="17" ht="6" customHeight="1" thickTop="1" x14ac:dyDescent="0.25"/>
  </sheetData>
  <pageMargins left="0.7" right="0.7" top="0.75" bottom="0.75" header="0.3" footer="0.3"/>
  <pageSetup scale="72"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
  <sheetViews>
    <sheetView view="pageBreakPreview" zoomScale="60" zoomScaleNormal="100" workbookViewId="0">
      <selection activeCell="G7" sqref="G7:I11"/>
    </sheetView>
  </sheetViews>
  <sheetFormatPr defaultRowHeight="14.5" x14ac:dyDescent="0.35"/>
  <cols>
    <col min="1" max="1" width="9.1796875" style="69"/>
    <col min="2" max="2" width="34.81640625" bestFit="1" customWidth="1"/>
    <col min="3" max="3" width="1.7265625" customWidth="1"/>
    <col min="4" max="4" width="14.7265625" style="9" customWidth="1"/>
    <col min="5" max="6" width="17.26953125" bestFit="1" customWidth="1"/>
    <col min="7" max="8" width="14.54296875" bestFit="1" customWidth="1"/>
    <col min="10" max="25" width="7.7265625" bestFit="1" customWidth="1"/>
  </cols>
  <sheetData>
    <row r="1" spans="2:25" s="69" customFormat="1" ht="15" x14ac:dyDescent="0.25"/>
    <row r="2" spans="2:25" s="69" customFormat="1" ht="18.75" x14ac:dyDescent="0.3">
      <c r="B2" s="153" t="s">
        <v>173</v>
      </c>
      <c r="C2" s="153"/>
      <c r="D2" s="153"/>
      <c r="E2" s="153"/>
      <c r="F2" s="153"/>
      <c r="G2" s="153"/>
      <c r="H2" s="153"/>
    </row>
    <row r="3" spans="2:25" s="69" customFormat="1" ht="6" customHeight="1" x14ac:dyDescent="0.25">
      <c r="B3" s="73"/>
      <c r="C3" s="73"/>
      <c r="D3" s="73"/>
      <c r="E3" s="73"/>
      <c r="F3" s="73"/>
      <c r="G3" s="73"/>
      <c r="H3" s="73"/>
    </row>
    <row r="4" spans="2:25" ht="6" customHeight="1" x14ac:dyDescent="0.25"/>
    <row r="5" spans="2:25" ht="15" x14ac:dyDescent="0.25">
      <c r="B5" s="98"/>
      <c r="C5" s="98"/>
      <c r="D5" s="98">
        <v>2013</v>
      </c>
      <c r="E5" s="98">
        <v>2014</v>
      </c>
      <c r="F5" s="98">
        <v>2015</v>
      </c>
      <c r="G5" s="98">
        <v>2016</v>
      </c>
      <c r="H5" s="98">
        <v>2017</v>
      </c>
      <c r="I5" s="98"/>
      <c r="J5" s="98"/>
      <c r="K5" s="98"/>
      <c r="L5" s="98"/>
      <c r="M5" s="98"/>
      <c r="N5" s="98"/>
      <c r="O5" s="98"/>
      <c r="P5" s="98"/>
      <c r="Q5" s="98"/>
      <c r="R5" s="98"/>
      <c r="S5" s="98"/>
      <c r="T5" s="98"/>
      <c r="U5" s="98"/>
      <c r="V5" s="98"/>
      <c r="W5" s="98"/>
      <c r="X5" s="98"/>
      <c r="Y5" s="98"/>
    </row>
    <row r="6" spans="2:25" s="69" customFormat="1" ht="6" customHeight="1" x14ac:dyDescent="0.25">
      <c r="B6" s="125"/>
      <c r="C6" s="125"/>
      <c r="D6" s="125"/>
      <c r="E6" s="125"/>
      <c r="F6" s="125"/>
      <c r="G6" s="125"/>
      <c r="H6" s="125"/>
      <c r="I6" s="98"/>
      <c r="J6" s="98"/>
      <c r="K6" s="98"/>
      <c r="L6" s="98"/>
      <c r="M6" s="98"/>
      <c r="N6" s="98"/>
      <c r="O6" s="98"/>
      <c r="P6" s="98"/>
      <c r="Q6" s="98"/>
      <c r="R6" s="98"/>
      <c r="S6" s="98"/>
      <c r="T6" s="98"/>
      <c r="U6" s="98"/>
      <c r="V6" s="98"/>
      <c r="W6" s="98"/>
      <c r="X6" s="98"/>
      <c r="Y6" s="98"/>
    </row>
    <row r="7" spans="2:25" s="69" customFormat="1" ht="6" customHeight="1" x14ac:dyDescent="0.25">
      <c r="B7" s="98"/>
      <c r="C7" s="98"/>
      <c r="D7" s="98"/>
      <c r="E7" s="98"/>
      <c r="F7" s="98"/>
      <c r="G7" s="98"/>
      <c r="H7" s="98"/>
      <c r="I7" s="98"/>
      <c r="J7" s="98"/>
      <c r="K7" s="98"/>
      <c r="L7" s="98"/>
      <c r="M7" s="98"/>
      <c r="N7" s="98"/>
      <c r="O7" s="98"/>
      <c r="P7" s="98"/>
      <c r="Q7" s="98"/>
      <c r="R7" s="98"/>
      <c r="S7" s="98"/>
      <c r="T7" s="98"/>
      <c r="U7" s="98"/>
      <c r="V7" s="98"/>
      <c r="W7" s="98"/>
      <c r="X7" s="98"/>
      <c r="Y7" s="98"/>
    </row>
    <row r="8" spans="2:25" ht="15" x14ac:dyDescent="0.25">
      <c r="B8" s="98" t="s">
        <v>20</v>
      </c>
      <c r="C8" s="98"/>
      <c r="D8" s="98"/>
      <c r="E8" s="103">
        <v>60.18</v>
      </c>
      <c r="F8" s="103">
        <v>53.86</v>
      </c>
      <c r="G8" s="103">
        <v>50.59</v>
      </c>
      <c r="H8" s="103">
        <v>46.14</v>
      </c>
      <c r="I8" s="98"/>
      <c r="J8" s="98"/>
      <c r="K8" s="98"/>
      <c r="L8" s="98"/>
      <c r="M8" s="98"/>
      <c r="N8" s="98"/>
      <c r="O8" s="98"/>
      <c r="P8" s="98"/>
      <c r="Q8" s="98"/>
      <c r="R8" s="98"/>
      <c r="S8" s="98"/>
      <c r="T8" s="98"/>
      <c r="U8" s="98"/>
      <c r="V8" s="98"/>
      <c r="W8" s="98"/>
      <c r="X8" s="98"/>
      <c r="Y8" s="98"/>
    </row>
    <row r="9" spans="2:25" ht="15" x14ac:dyDescent="0.25">
      <c r="B9" s="98" t="s">
        <v>5</v>
      </c>
      <c r="C9" s="98"/>
      <c r="D9" s="99">
        <v>8295000</v>
      </c>
      <c r="E9" s="99">
        <v>10486000</v>
      </c>
      <c r="F9" s="99">
        <v>12803000</v>
      </c>
      <c r="G9" s="147">
        <v>13084000</v>
      </c>
      <c r="H9" s="147">
        <v>13642000</v>
      </c>
      <c r="I9" s="98"/>
      <c r="J9" s="98"/>
      <c r="K9" s="98"/>
      <c r="L9" s="98"/>
      <c r="M9" s="98"/>
      <c r="N9" s="98"/>
      <c r="O9" s="98"/>
      <c r="P9" s="98"/>
      <c r="Q9" s="98"/>
      <c r="R9" s="98"/>
      <c r="S9" s="98"/>
      <c r="T9" s="98"/>
      <c r="U9" s="98"/>
      <c r="V9" s="98"/>
      <c r="W9" s="98"/>
      <c r="X9" s="98"/>
      <c r="Y9" s="98"/>
    </row>
    <row r="10" spans="2:25" ht="15" x14ac:dyDescent="0.25">
      <c r="B10" s="98" t="s">
        <v>32</v>
      </c>
      <c r="C10" s="98"/>
      <c r="D10" s="99"/>
      <c r="E10" s="101"/>
      <c r="F10" s="101"/>
      <c r="G10" s="147"/>
      <c r="H10" s="147">
        <f t="shared" ref="H10" si="0">(H9+G9)/2</f>
        <v>13363000</v>
      </c>
      <c r="I10" s="98"/>
      <c r="J10" s="98"/>
      <c r="K10" s="98"/>
      <c r="L10" s="98"/>
      <c r="M10" s="98"/>
      <c r="N10" s="98"/>
      <c r="O10" s="98"/>
      <c r="P10" s="98"/>
      <c r="Q10" s="98"/>
      <c r="R10" s="98"/>
      <c r="S10" s="98"/>
      <c r="T10" s="98"/>
      <c r="U10" s="98"/>
      <c r="V10" s="98"/>
      <c r="W10" s="98"/>
      <c r="X10" s="98"/>
      <c r="Y10" s="98"/>
    </row>
    <row r="11" spans="2:25" ht="15" x14ac:dyDescent="0.25">
      <c r="B11" s="98" t="s">
        <v>6</v>
      </c>
      <c r="C11" s="98"/>
      <c r="D11" s="100"/>
      <c r="E11" s="100"/>
      <c r="F11" s="100"/>
      <c r="G11" s="100"/>
      <c r="H11" s="100">
        <v>884000000</v>
      </c>
      <c r="I11" s="98"/>
      <c r="J11" s="98"/>
      <c r="K11" s="98"/>
      <c r="L11" s="98"/>
      <c r="M11" s="98"/>
      <c r="N11" s="98"/>
      <c r="O11" s="98"/>
      <c r="P11" s="98"/>
      <c r="Q11" s="98"/>
      <c r="R11" s="98"/>
      <c r="S11" s="98"/>
      <c r="T11" s="98"/>
      <c r="U11" s="98"/>
      <c r="V11" s="98"/>
      <c r="W11" s="98"/>
      <c r="X11" s="98"/>
      <c r="Y11" s="98"/>
    </row>
    <row r="12" spans="2:25" ht="6" customHeight="1" thickBot="1" x14ac:dyDescent="0.3">
      <c r="B12" s="72"/>
      <c r="C12" s="72"/>
      <c r="D12" s="72"/>
      <c r="E12" s="72"/>
      <c r="F12" s="72"/>
      <c r="G12" s="72"/>
      <c r="H12" s="72"/>
    </row>
    <row r="13" spans="2:25" ht="6" customHeight="1" thickTop="1" x14ac:dyDescent="0.25"/>
  </sheetData>
  <pageMargins left="0.7" right="0.7" top="0.75" bottom="0.7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
  <sheetViews>
    <sheetView view="pageBreakPreview" zoomScale="60" zoomScaleNormal="85" workbookViewId="0">
      <selection activeCell="J5" sqref="J5"/>
    </sheetView>
  </sheetViews>
  <sheetFormatPr defaultRowHeight="14.5" x14ac:dyDescent="0.35"/>
  <cols>
    <col min="1" max="1" width="9.1796875" style="69"/>
    <col min="2" max="2" width="26.7265625" bestFit="1" customWidth="1"/>
    <col min="3" max="3" width="1.7265625" style="69" customWidth="1"/>
    <col min="4" max="4" width="12.26953125" bestFit="1" customWidth="1"/>
    <col min="5" max="5" width="10.81640625" bestFit="1" customWidth="1"/>
    <col min="6" max="6" width="9.81640625" bestFit="1" customWidth="1"/>
    <col min="7" max="7" width="10.81640625" style="9" bestFit="1" customWidth="1"/>
    <col min="8" max="8" width="1.7265625" style="69" customWidth="1"/>
    <col min="9" max="9" width="12.26953125" bestFit="1" customWidth="1"/>
    <col min="10" max="10" width="10.81640625" bestFit="1" customWidth="1"/>
    <col min="11" max="11" width="9.81640625" bestFit="1" customWidth="1"/>
    <col min="12" max="12" width="10.81640625" bestFit="1" customWidth="1"/>
    <col min="13" max="13" width="1.7265625" style="69" customWidth="1"/>
    <col min="14" max="14" width="11.26953125" bestFit="1" customWidth="1"/>
    <col min="15" max="15" width="10.81640625" bestFit="1" customWidth="1"/>
    <col min="16" max="16" width="9.81640625" bestFit="1" customWidth="1"/>
    <col min="17" max="17" width="10.81640625" bestFit="1" customWidth="1"/>
    <col min="18" max="18" width="1.7265625" style="69" customWidth="1"/>
    <col min="19" max="19" width="12.26953125" bestFit="1" customWidth="1"/>
    <col min="20" max="20" width="10.81640625" bestFit="1" customWidth="1"/>
    <col min="21" max="21" width="9.81640625" bestFit="1" customWidth="1"/>
    <col min="22" max="22" width="10.81640625" bestFit="1" customWidth="1"/>
  </cols>
  <sheetData>
    <row r="1" spans="1:22" ht="15" x14ac:dyDescent="0.25">
      <c r="D1" s="98"/>
      <c r="E1" s="98"/>
      <c r="F1" s="98"/>
      <c r="G1" s="98"/>
      <c r="H1" s="98"/>
      <c r="I1" s="98"/>
    </row>
    <row r="2" spans="1:22" ht="18.75" x14ac:dyDescent="0.3">
      <c r="B2" s="153" t="s">
        <v>177</v>
      </c>
      <c r="C2" s="153"/>
      <c r="D2" s="153"/>
      <c r="E2" s="153"/>
      <c r="F2" s="153"/>
      <c r="G2" s="153"/>
      <c r="H2" s="153"/>
      <c r="I2" s="153"/>
      <c r="J2" s="153"/>
      <c r="K2" s="153"/>
      <c r="L2" s="153"/>
      <c r="M2" s="153"/>
      <c r="N2" s="153"/>
      <c r="O2" s="153"/>
      <c r="P2" s="153"/>
      <c r="Q2" s="153"/>
      <c r="R2" s="153"/>
      <c r="S2" s="153"/>
      <c r="T2" s="153"/>
      <c r="U2" s="153"/>
      <c r="V2" s="153"/>
    </row>
    <row r="3" spans="1:22" s="69" customFormat="1" ht="6" customHeight="1" x14ac:dyDescent="0.25">
      <c r="B3" s="125"/>
      <c r="C3" s="125"/>
      <c r="D3" s="125"/>
      <c r="E3" s="125"/>
      <c r="F3" s="125"/>
      <c r="G3" s="125"/>
      <c r="H3" s="125"/>
      <c r="I3" s="125"/>
      <c r="J3" s="73"/>
      <c r="K3" s="73"/>
      <c r="L3" s="73"/>
      <c r="M3" s="73"/>
      <c r="N3" s="73"/>
      <c r="O3" s="73"/>
      <c r="P3" s="73"/>
      <c r="Q3" s="73"/>
      <c r="R3" s="73"/>
      <c r="S3" s="73"/>
      <c r="T3" s="73"/>
      <c r="U3" s="73"/>
      <c r="V3" s="73"/>
    </row>
    <row r="4" spans="1:22" s="69" customFormat="1" ht="6" customHeight="1" x14ac:dyDescent="0.25">
      <c r="B4" s="98"/>
      <c r="C4" s="98"/>
      <c r="D4" s="98"/>
      <c r="E4" s="98"/>
      <c r="F4" s="98"/>
      <c r="G4" s="98"/>
      <c r="H4" s="98"/>
      <c r="I4" s="98"/>
    </row>
    <row r="5" spans="1:22" s="9" customFormat="1" ht="15" x14ac:dyDescent="0.25">
      <c r="A5" s="69"/>
      <c r="B5" s="98"/>
      <c r="C5" s="98"/>
      <c r="D5" s="110">
        <v>2014</v>
      </c>
      <c r="E5" s="110"/>
      <c r="F5" s="110"/>
      <c r="G5" s="110"/>
      <c r="H5" s="110"/>
      <c r="I5" s="110">
        <v>2015</v>
      </c>
      <c r="J5" s="110"/>
      <c r="K5" s="110"/>
      <c r="L5" s="110"/>
      <c r="M5" s="110"/>
      <c r="N5" s="110">
        <v>2016</v>
      </c>
      <c r="O5" s="110"/>
      <c r="P5" s="110"/>
      <c r="Q5" s="110"/>
      <c r="R5" s="110"/>
      <c r="S5" s="110">
        <v>2017</v>
      </c>
      <c r="T5" s="110"/>
      <c r="U5" s="110"/>
      <c r="V5" s="110"/>
    </row>
    <row r="6" spans="1:22" s="9" customFormat="1" ht="15" x14ac:dyDescent="0.25">
      <c r="A6" s="69"/>
      <c r="B6" s="98"/>
      <c r="C6" s="98"/>
      <c r="D6" s="105">
        <v>41729</v>
      </c>
      <c r="E6" s="105">
        <v>41820</v>
      </c>
      <c r="F6" s="98" t="s">
        <v>40</v>
      </c>
      <c r="G6" s="105">
        <v>42004</v>
      </c>
      <c r="H6" s="105"/>
      <c r="I6" s="105">
        <v>42094</v>
      </c>
      <c r="J6" s="105">
        <v>42185</v>
      </c>
      <c r="K6" s="98" t="s">
        <v>41</v>
      </c>
      <c r="L6" s="105">
        <v>42369</v>
      </c>
      <c r="M6" s="105"/>
      <c r="N6" s="105">
        <v>42460</v>
      </c>
      <c r="O6" s="105">
        <v>42551</v>
      </c>
      <c r="P6" s="105" t="s">
        <v>10</v>
      </c>
      <c r="Q6" s="105">
        <v>42735</v>
      </c>
      <c r="R6" s="105"/>
      <c r="S6" s="105">
        <v>42825</v>
      </c>
      <c r="T6" s="105">
        <v>42916</v>
      </c>
      <c r="U6" s="98" t="s">
        <v>13</v>
      </c>
      <c r="V6" s="105">
        <v>43100</v>
      </c>
    </row>
    <row r="7" spans="1:22" s="69" customFormat="1" ht="6" customHeight="1" x14ac:dyDescent="0.25">
      <c r="B7" s="125"/>
      <c r="C7" s="125"/>
      <c r="D7" s="177"/>
      <c r="E7" s="177"/>
      <c r="F7" s="125"/>
      <c r="G7" s="177"/>
      <c r="H7" s="177"/>
      <c r="I7" s="177"/>
      <c r="J7" s="177"/>
      <c r="K7" s="125"/>
      <c r="L7" s="177"/>
      <c r="M7" s="177"/>
      <c r="N7" s="177"/>
      <c r="O7" s="177"/>
      <c r="P7" s="177"/>
      <c r="Q7" s="177"/>
      <c r="R7" s="177"/>
      <c r="S7" s="177"/>
      <c r="T7" s="177"/>
      <c r="U7" s="125"/>
      <c r="V7" s="177"/>
    </row>
    <row r="8" spans="1:22" s="69" customFormat="1" ht="6" customHeight="1" x14ac:dyDescent="0.25">
      <c r="B8" s="98"/>
      <c r="C8" s="98"/>
      <c r="D8" s="105"/>
      <c r="E8" s="105"/>
      <c r="F8" s="98"/>
      <c r="G8" s="105"/>
      <c r="H8" s="105"/>
      <c r="I8" s="105"/>
      <c r="J8" s="105"/>
      <c r="K8" s="98"/>
      <c r="L8" s="105"/>
      <c r="M8" s="105"/>
      <c r="N8" s="105"/>
      <c r="O8" s="105"/>
      <c r="P8" s="105"/>
      <c r="Q8" s="105"/>
      <c r="R8" s="105"/>
      <c r="S8" s="105"/>
      <c r="T8" s="105"/>
      <c r="U8" s="98"/>
      <c r="V8" s="105"/>
    </row>
    <row r="9" spans="1:22" s="9" customFormat="1" ht="15" x14ac:dyDescent="0.25">
      <c r="A9" s="69"/>
      <c r="B9" s="98" t="s">
        <v>111</v>
      </c>
      <c r="C9" s="98"/>
      <c r="D9" s="98">
        <v>356000</v>
      </c>
      <c r="E9" s="98">
        <v>352000</v>
      </c>
      <c r="F9" s="98">
        <v>350000</v>
      </c>
      <c r="G9" s="98">
        <v>348000</v>
      </c>
      <c r="H9" s="98"/>
      <c r="I9" s="98">
        <v>360000</v>
      </c>
      <c r="J9" s="98">
        <v>368000</v>
      </c>
      <c r="K9" s="98">
        <v>380000</v>
      </c>
      <c r="L9" s="98">
        <v>387000</v>
      </c>
      <c r="M9" s="98"/>
      <c r="N9" s="98">
        <v>399000</v>
      </c>
      <c r="O9" s="98">
        <v>413000</v>
      </c>
      <c r="P9" s="98">
        <v>480000</v>
      </c>
      <c r="Q9" s="98">
        <v>484000</v>
      </c>
      <c r="R9" s="98"/>
      <c r="S9" s="98">
        <v>480000</v>
      </c>
      <c r="T9" s="98">
        <v>484000</v>
      </c>
      <c r="U9" s="98">
        <v>515000</v>
      </c>
      <c r="V9" s="98">
        <v>519000</v>
      </c>
    </row>
    <row r="10" spans="1:22" s="9" customFormat="1" ht="15" x14ac:dyDescent="0.25">
      <c r="A10" s="69"/>
      <c r="B10" s="98" t="s">
        <v>12</v>
      </c>
      <c r="C10" s="98"/>
      <c r="D10" s="98">
        <v>32.22</v>
      </c>
      <c r="E10" s="98">
        <v>34.020000000000003</v>
      </c>
      <c r="F10" s="98">
        <v>34.4</v>
      </c>
      <c r="G10" s="98">
        <v>35.33</v>
      </c>
      <c r="H10" s="98"/>
      <c r="I10" s="98">
        <v>35.72</v>
      </c>
      <c r="J10" s="98">
        <v>35.979999999999997</v>
      </c>
      <c r="K10" s="98">
        <v>35.64</v>
      </c>
      <c r="L10" s="98">
        <v>35.54</v>
      </c>
      <c r="M10" s="98"/>
      <c r="N10" s="98">
        <v>35.51</v>
      </c>
      <c r="O10" s="98">
        <v>34.58</v>
      </c>
      <c r="P10" s="98">
        <v>34.39</v>
      </c>
      <c r="Q10" s="98">
        <v>33.25</v>
      </c>
      <c r="R10" s="98"/>
      <c r="S10" s="98">
        <v>33.659999999999997</v>
      </c>
      <c r="T10" s="98">
        <v>33.520000000000003</v>
      </c>
      <c r="U10" s="98">
        <v>33.119999999999997</v>
      </c>
      <c r="V10" s="98">
        <v>32.42</v>
      </c>
    </row>
    <row r="11" spans="1:22" s="9" customFormat="1" ht="15" x14ac:dyDescent="0.25">
      <c r="A11" s="69"/>
      <c r="B11" s="98" t="s">
        <v>174</v>
      </c>
      <c r="C11" s="98"/>
      <c r="D11" s="121">
        <f>(D9*D10+E9*E10+F9*F10+G9*G10)/SUM(D9:G9)</f>
        <v>33.983072546230439</v>
      </c>
      <c r="E11" s="110"/>
      <c r="F11" s="110"/>
      <c r="G11" s="110"/>
      <c r="H11" s="110"/>
      <c r="I11" s="121">
        <f>(I9*I10+J9*J10+K9*K10+L9*L10)/SUM(I9:L9)</f>
        <v>35.717070234113713</v>
      </c>
      <c r="J11" s="110"/>
      <c r="K11" s="110"/>
      <c r="L11" s="110"/>
      <c r="M11" s="110"/>
      <c r="N11" s="121">
        <f>(N9*N10+O9*O10+P9*P10+Q9*Q10)/SUM(N9:Q9)</f>
        <v>34.375129504504507</v>
      </c>
      <c r="O11" s="110"/>
      <c r="P11" s="110"/>
      <c r="Q11" s="110"/>
      <c r="R11" s="110"/>
      <c r="S11" s="121">
        <f>(S9*S10+T9*T10+U9*U10+V9*V10)/SUM(S9:V9)</f>
        <v>33.164794794794794</v>
      </c>
      <c r="T11" s="110"/>
      <c r="U11" s="110"/>
      <c r="V11" s="110"/>
    </row>
    <row r="12" spans="1:22" s="9" customFormat="1" ht="6" customHeight="1" thickBot="1" x14ac:dyDescent="0.3">
      <c r="A12" s="69"/>
      <c r="B12" s="111"/>
      <c r="C12" s="111"/>
      <c r="D12" s="72"/>
      <c r="E12" s="72"/>
      <c r="F12" s="72"/>
      <c r="G12" s="72"/>
      <c r="H12" s="72"/>
      <c r="I12" s="111"/>
      <c r="J12" s="72"/>
      <c r="K12" s="72"/>
      <c r="L12" s="72"/>
      <c r="M12" s="72"/>
      <c r="N12" s="72"/>
      <c r="O12" s="72"/>
      <c r="P12" s="72"/>
      <c r="Q12" s="72"/>
      <c r="R12" s="72"/>
      <c r="S12" s="72"/>
      <c r="T12" s="72"/>
      <c r="U12" s="72"/>
      <c r="V12" s="72"/>
    </row>
    <row r="13" spans="1:22" ht="6" customHeight="1" thickTop="1" x14ac:dyDescent="0.25">
      <c r="B13" s="98"/>
      <c r="C13" s="98"/>
      <c r="D13" s="98"/>
      <c r="E13" s="98"/>
      <c r="F13" s="98"/>
      <c r="G13" s="98"/>
      <c r="H13" s="98"/>
      <c r="I13" s="98"/>
    </row>
    <row r="14" spans="1:22" ht="15" x14ac:dyDescent="0.25">
      <c r="B14" s="98" t="s">
        <v>175</v>
      </c>
      <c r="C14" s="98"/>
      <c r="D14" s="98"/>
      <c r="E14" s="98"/>
      <c r="F14" s="98"/>
      <c r="G14" s="98"/>
      <c r="H14" s="98"/>
      <c r="I14" s="98"/>
    </row>
    <row r="15" spans="1:22" ht="15" x14ac:dyDescent="0.25">
      <c r="B15" s="98" t="s">
        <v>176</v>
      </c>
    </row>
  </sheetData>
  <pageMargins left="0.7" right="0.7" top="0.75" bottom="0.7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view="pageBreakPreview" zoomScale="60" zoomScaleNormal="100" workbookViewId="0">
      <selection activeCell="D22" sqref="D22"/>
    </sheetView>
  </sheetViews>
  <sheetFormatPr defaultRowHeight="14.5" x14ac:dyDescent="0.35"/>
  <cols>
    <col min="1" max="1" width="9.1796875" style="69"/>
    <col min="2" max="2" width="38.1796875" customWidth="1"/>
    <col min="3" max="3" width="1.7265625" customWidth="1"/>
    <col min="4" max="8" width="12.1796875" customWidth="1"/>
  </cols>
  <sheetData>
    <row r="1" spans="2:8" s="69" customFormat="1" ht="15" x14ac:dyDescent="0.25"/>
    <row r="2" spans="2:8" s="69" customFormat="1" ht="18.75" x14ac:dyDescent="0.3">
      <c r="B2" s="153" t="s">
        <v>178</v>
      </c>
      <c r="C2" s="153"/>
      <c r="D2" s="153"/>
      <c r="E2" s="153"/>
      <c r="F2" s="153"/>
      <c r="G2" s="153"/>
      <c r="H2" s="153"/>
    </row>
    <row r="3" spans="2:8" s="69" customFormat="1" ht="6" customHeight="1" x14ac:dyDescent="0.25">
      <c r="B3" s="73"/>
      <c r="C3" s="73"/>
      <c r="D3" s="73"/>
      <c r="E3" s="73"/>
      <c r="F3" s="73"/>
      <c r="G3" s="73"/>
      <c r="H3" s="73"/>
    </row>
    <row r="4" spans="2:8" ht="6" customHeight="1" x14ac:dyDescent="0.25"/>
    <row r="5" spans="2:8" ht="15" x14ac:dyDescent="0.25">
      <c r="D5">
        <v>2013</v>
      </c>
      <c r="E5">
        <v>2014</v>
      </c>
      <c r="F5">
        <v>2015</v>
      </c>
      <c r="G5">
        <v>2016</v>
      </c>
      <c r="H5">
        <v>2017</v>
      </c>
    </row>
    <row r="6" spans="2:8" s="69" customFormat="1" ht="6" customHeight="1" x14ac:dyDescent="0.25">
      <c r="B6" s="73"/>
      <c r="C6" s="73"/>
      <c r="D6" s="73"/>
      <c r="E6" s="73"/>
      <c r="F6" s="73"/>
      <c r="G6" s="73"/>
      <c r="H6" s="73"/>
    </row>
    <row r="7" spans="2:8" s="69" customFormat="1" ht="6" customHeight="1" x14ac:dyDescent="0.25"/>
    <row r="8" spans="2:8" ht="15" x14ac:dyDescent="0.25">
      <c r="B8" t="str">
        <f>Retail!F5</f>
        <v>Pre-Paid Subscribers (End of Year Dec 31)</v>
      </c>
      <c r="D8" s="12">
        <v>343000</v>
      </c>
      <c r="E8" s="12">
        <v>348000</v>
      </c>
      <c r="F8" s="12">
        <v>387000</v>
      </c>
      <c r="G8" s="12">
        <v>484000</v>
      </c>
      <c r="H8" s="12">
        <v>519000</v>
      </c>
    </row>
    <row r="9" spans="2:8" ht="15" x14ac:dyDescent="0.25">
      <c r="B9" t="str">
        <f>Retail!Z5</f>
        <v>Post-Paid Subscribers (End of Year Dec 31)</v>
      </c>
      <c r="D9" s="12">
        <v>4267000</v>
      </c>
      <c r="E9" s="12">
        <v>4298000</v>
      </c>
      <c r="F9" s="12">
        <v>4409000</v>
      </c>
      <c r="G9" s="12">
        <v>4482000</v>
      </c>
      <c r="H9" s="12">
        <v>4518000</v>
      </c>
    </row>
    <row r="10" spans="2:8" ht="15" x14ac:dyDescent="0.25">
      <c r="B10" t="s">
        <v>11</v>
      </c>
      <c r="E10">
        <v>56.75</v>
      </c>
      <c r="F10">
        <v>54.5</v>
      </c>
      <c r="G10">
        <v>46.96</v>
      </c>
      <c r="H10">
        <v>44.38</v>
      </c>
    </row>
    <row r="11" spans="2:8" ht="6" customHeight="1" thickBot="1" x14ac:dyDescent="0.3">
      <c r="B11" s="72"/>
      <c r="C11" s="72"/>
      <c r="D11" s="72"/>
      <c r="E11" s="72"/>
      <c r="F11" s="72"/>
      <c r="G11" s="72"/>
      <c r="H11" s="72"/>
    </row>
    <row r="12" spans="2:8" ht="6" customHeight="1" thickTop="1" x14ac:dyDescent="0.25"/>
    <row r="13" spans="2:8" ht="15" x14ac:dyDescent="0.25">
      <c r="B13" s="98" t="s">
        <v>175</v>
      </c>
    </row>
  </sheetData>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60" zoomScaleNormal="100" workbookViewId="0"/>
  </sheetViews>
  <sheetFormatPr defaultRowHeight="14.5" x14ac:dyDescent="0.35"/>
  <cols>
    <col min="2" max="2" width="20.7265625" customWidth="1"/>
    <col min="3" max="6" width="11.7265625" customWidth="1"/>
  </cols>
  <sheetData>
    <row r="1" spans="1:6" s="81" customFormat="1" ht="15" x14ac:dyDescent="0.25">
      <c r="A1" s="106">
        <v>1000000</v>
      </c>
      <c r="B1" s="106"/>
      <c r="C1" s="106"/>
      <c r="D1" s="106"/>
      <c r="E1" s="106"/>
      <c r="F1" s="106"/>
    </row>
    <row r="2" spans="1:6" s="9" customFormat="1" ht="18.75" x14ac:dyDescent="0.3">
      <c r="A2" s="98"/>
      <c r="B2" s="137" t="s">
        <v>45</v>
      </c>
      <c r="C2" s="110"/>
      <c r="D2" s="110"/>
      <c r="E2" s="110"/>
      <c r="F2" s="110"/>
    </row>
    <row r="3" spans="1:6" s="9" customFormat="1" ht="6" customHeight="1" thickBot="1" x14ac:dyDescent="0.3">
      <c r="A3" s="98"/>
      <c r="B3" s="111"/>
      <c r="C3" s="111"/>
      <c r="D3" s="111"/>
      <c r="E3" s="111"/>
      <c r="F3" s="111"/>
    </row>
    <row r="4" spans="1:6" ht="6" customHeight="1" thickTop="1" x14ac:dyDescent="0.25">
      <c r="A4" s="98"/>
      <c r="B4" s="98"/>
      <c r="C4" s="98"/>
      <c r="D4" s="98"/>
      <c r="E4" s="98"/>
      <c r="F4" s="98"/>
    </row>
    <row r="5" spans="1:6" ht="15" x14ac:dyDescent="0.25">
      <c r="A5" s="98"/>
      <c r="B5" s="125"/>
      <c r="C5" s="125">
        <v>2014</v>
      </c>
      <c r="D5" s="125">
        <f>C5+1</f>
        <v>2015</v>
      </c>
      <c r="E5" s="125">
        <f t="shared" ref="E5:F5" si="0">D5+1</f>
        <v>2016</v>
      </c>
      <c r="F5" s="125">
        <f t="shared" si="0"/>
        <v>2017</v>
      </c>
    </row>
    <row r="6" spans="1:6" s="9" customFormat="1" ht="6" customHeight="1" x14ac:dyDescent="0.25">
      <c r="A6" s="98"/>
      <c r="B6" s="98"/>
      <c r="C6" s="98"/>
      <c r="D6" s="98"/>
      <c r="E6" s="98"/>
      <c r="F6" s="98"/>
    </row>
    <row r="7" spans="1:6" ht="15" x14ac:dyDescent="0.25">
      <c r="A7" s="98"/>
      <c r="B7" s="133" t="s">
        <v>122</v>
      </c>
      <c r="C7" s="125"/>
      <c r="D7" s="125"/>
      <c r="E7" s="125"/>
      <c r="F7" s="125"/>
    </row>
    <row r="8" spans="1:6" ht="15" x14ac:dyDescent="0.25">
      <c r="A8" s="98"/>
      <c r="B8" s="134" t="s">
        <v>1</v>
      </c>
      <c r="C8" s="180">
        <f>INDEX(connections!$C$16:$F$19,MATCH('Table 8'!$B8,connections!$B$16:$B$19,0),MATCH('Table 8'!C$5,connections!$C$1:$F$1,0))/$A$1</f>
        <v>75.77</v>
      </c>
      <c r="D8" s="180">
        <f>INDEX(connections!$C$16:$F$19,MATCH('Table 8'!$B8,connections!$B$16:$B$19,0),MATCH('Table 8'!D$5,connections!$C$1:$F$1,0))/$A$1</f>
        <v>77.105000000000004</v>
      </c>
      <c r="E8" s="180">
        <f>INDEX(connections!$C$16:$F$19,MATCH('Table 8'!$B8,connections!$B$16:$B$19,0),MATCH('Table 8'!E$5,connections!$C$1:$F$1,0))/$A$1</f>
        <v>77.783000000000001</v>
      </c>
      <c r="F8" s="180">
        <f>INDEX(connections!$C$16:$F$19,MATCH('Table 8'!$B8,connections!$B$16:$B$19,0),MATCH('Table 8'!F$5,connections!$C$1:$F$1,0))/$A$1</f>
        <v>77.875</v>
      </c>
    </row>
    <row r="9" spans="1:6" ht="15" x14ac:dyDescent="0.25">
      <c r="A9" s="98"/>
      <c r="B9" s="134" t="s">
        <v>0</v>
      </c>
      <c r="C9" s="180">
        <f>INDEX(connections!$C$16:$F$19,MATCH('Table 8'!$B9,connections!$B$16:$B$19,0),MATCH('Table 8'!C$5,connections!$C$1:$F$1,0))/$A$1</f>
        <v>102.07899999999999</v>
      </c>
      <c r="D9" s="180">
        <f>INDEX(connections!$C$16:$F$19,MATCH('Table 8'!$B9,connections!$B$16:$B$19,0),MATCH('Table 8'!D$5,connections!$C$1:$F$1,0))/$A$1</f>
        <v>106.52800000000001</v>
      </c>
      <c r="E9" s="180">
        <f>INDEX(connections!$C$16:$F$19,MATCH('Table 8'!$B9,connections!$B$16:$B$19,0),MATCH('Table 8'!E$5,connections!$C$1:$F$1,0))/$A$1</f>
        <v>108.79600000000001</v>
      </c>
      <c r="F9" s="180">
        <f>INDEX(connections!$C$16:$F$19,MATCH('Table 8'!$B9,connections!$B$16:$B$19,0),MATCH('Table 8'!F$5,connections!$C$1:$F$1,0))/$A$1</f>
        <v>110.854</v>
      </c>
    </row>
    <row r="10" spans="1:6" ht="15" x14ac:dyDescent="0.25">
      <c r="A10" s="98"/>
      <c r="B10" s="134" t="s">
        <v>2</v>
      </c>
      <c r="C10" s="180">
        <f>INDEX(connections!$C$16:$F$19,MATCH('Table 8'!$B10,connections!$B$16:$B$19,0),MATCH('Table 8'!C$5,connections!$C$1:$F$1,0))/$A$1</f>
        <v>29.904</v>
      </c>
      <c r="D10" s="180">
        <f>INDEX(connections!$C$16:$F$19,MATCH('Table 8'!$B10,connections!$B$16:$B$19,0),MATCH('Table 8'!D$5,connections!$C$1:$F$1,0))/$A$1</f>
        <v>30.895</v>
      </c>
      <c r="E10" s="180">
        <f>INDEX(connections!$C$16:$F$19,MATCH('Table 8'!$B10,connections!$B$16:$B$19,0),MATCH('Table 8'!E$5,connections!$C$1:$F$1,0))/$A$1</f>
        <v>31.693999999999999</v>
      </c>
      <c r="F10" s="180">
        <f>INDEX(connections!$C$16:$F$19,MATCH('Table 8'!$B10,connections!$B$16:$B$19,0),MATCH('Table 8'!F$5,connections!$C$1:$F$1,0))/$A$1</f>
        <v>31.942</v>
      </c>
    </row>
    <row r="11" spans="1:6" ht="15" x14ac:dyDescent="0.25">
      <c r="A11" s="98"/>
      <c r="B11" s="134" t="s">
        <v>3</v>
      </c>
      <c r="C11" s="180">
        <f>INDEX(connections!$C$16:$F$19,MATCH('Table 8'!$B11,connections!$B$16:$B$19,0),MATCH('Table 8'!C$5,connections!$C$1:$F$1,0))/$A$1</f>
        <v>25.844000000000001</v>
      </c>
      <c r="D11" s="180">
        <f>INDEX(connections!$C$16:$F$19,MATCH('Table 8'!$B11,connections!$B$16:$B$19,0),MATCH('Table 8'!D$5,connections!$C$1:$F$1,0))/$A$1</f>
        <v>29.355</v>
      </c>
      <c r="E11" s="180">
        <f>INDEX(connections!$C$16:$F$19,MATCH('Table 8'!$B11,connections!$B$16:$B$19,0),MATCH('Table 8'!E$5,connections!$C$1:$F$1,0))/$A$1</f>
        <v>31.297000000000001</v>
      </c>
      <c r="F11" s="180">
        <f>INDEX(connections!$C$16:$F$19,MATCH('Table 8'!$B11,connections!$B$16:$B$19,0),MATCH('Table 8'!F$5,connections!$C$1:$F$1,0))/$A$1</f>
        <v>34.113999999999997</v>
      </c>
    </row>
    <row r="12" spans="1:6" s="9" customFormat="1" ht="15" x14ac:dyDescent="0.25">
      <c r="A12" s="98"/>
      <c r="B12" s="134" t="s">
        <v>4</v>
      </c>
      <c r="C12" s="180">
        <f>INDEX(connections!20:20,0,MATCH('Table 8'!C5,connections!1:1,0))/$A$1</f>
        <v>4.298</v>
      </c>
      <c r="D12" s="180">
        <f>INDEX(connections!20:20,0,MATCH('Table 8'!D5,connections!1:1,0))/$A$1</f>
        <v>4.4089999999999998</v>
      </c>
      <c r="E12" s="180">
        <f>INDEX(connections!20:20,0,MATCH('Table 8'!E5,connections!1:1,0))/$A$1</f>
        <v>4.4820000000000002</v>
      </c>
      <c r="F12" s="180">
        <f>INDEX(connections!20:20,0,MATCH('Table 8'!F5,connections!1:1,0))/$A$1</f>
        <v>4.5179999999999998</v>
      </c>
    </row>
    <row r="13" spans="1:6" s="9" customFormat="1" ht="15" x14ac:dyDescent="0.25">
      <c r="A13" s="98"/>
      <c r="B13" s="135" t="s">
        <v>44</v>
      </c>
      <c r="C13" s="181">
        <f>SUM(C8:C12)</f>
        <v>237.89499999999998</v>
      </c>
      <c r="D13" s="181">
        <f t="shared" ref="D13:F13" si="1">SUM(D8:D12)</f>
        <v>248.292</v>
      </c>
      <c r="E13" s="181">
        <f t="shared" si="1"/>
        <v>254.05199999999999</v>
      </c>
      <c r="F13" s="181">
        <f t="shared" si="1"/>
        <v>259.303</v>
      </c>
    </row>
    <row r="14" spans="1:6" ht="6" customHeight="1" x14ac:dyDescent="0.25">
      <c r="A14" s="98"/>
      <c r="B14" s="98"/>
      <c r="C14" s="98"/>
      <c r="D14" s="98"/>
      <c r="E14" s="98"/>
      <c r="F14" s="98"/>
    </row>
    <row r="15" spans="1:6" ht="15" x14ac:dyDescent="0.25">
      <c r="A15" s="98"/>
      <c r="B15" s="133" t="s">
        <v>46</v>
      </c>
      <c r="C15" s="125"/>
      <c r="D15" s="125"/>
      <c r="E15" s="125"/>
      <c r="F15" s="125"/>
    </row>
    <row r="16" spans="1:6" ht="15" x14ac:dyDescent="0.25">
      <c r="A16" s="98"/>
      <c r="B16" s="134" t="s">
        <v>1</v>
      </c>
      <c r="C16" s="182">
        <f>C8/C$13</f>
        <v>0.31850186006431408</v>
      </c>
      <c r="D16" s="182">
        <f t="shared" ref="D16:F16" si="2">D8/D$13</f>
        <v>0.31054162035023281</v>
      </c>
      <c r="E16" s="182">
        <f t="shared" si="2"/>
        <v>0.30616960307338659</v>
      </c>
      <c r="F16" s="182">
        <f t="shared" si="2"/>
        <v>0.30032433099501354</v>
      </c>
    </row>
    <row r="17" spans="1:6" ht="15" x14ac:dyDescent="0.25">
      <c r="A17" s="98"/>
      <c r="B17" s="134" t="s">
        <v>0</v>
      </c>
      <c r="C17" s="182">
        <f t="shared" ref="C17:F21" si="3">C9/C$13</f>
        <v>0.42909266693289055</v>
      </c>
      <c r="D17" s="182">
        <f t="shared" si="3"/>
        <v>0.42904322330159655</v>
      </c>
      <c r="E17" s="182">
        <f t="shared" si="3"/>
        <v>0.42824303685859594</v>
      </c>
      <c r="F17" s="182">
        <f t="shared" si="3"/>
        <v>0.42750758764842672</v>
      </c>
    </row>
    <row r="18" spans="1:6" ht="15" x14ac:dyDescent="0.25">
      <c r="A18" s="98"/>
      <c r="B18" s="134" t="s">
        <v>2</v>
      </c>
      <c r="C18" s="182">
        <f t="shared" si="3"/>
        <v>0.12570251581580111</v>
      </c>
      <c r="D18" s="182">
        <f t="shared" si="3"/>
        <v>0.12443010648752276</v>
      </c>
      <c r="E18" s="182">
        <f t="shared" si="3"/>
        <v>0.12475398737266387</v>
      </c>
      <c r="F18" s="182">
        <f t="shared" si="3"/>
        <v>0.12318407422976209</v>
      </c>
    </row>
    <row r="19" spans="1:6" ht="15" x14ac:dyDescent="0.25">
      <c r="A19" s="98"/>
      <c r="B19" s="134" t="s">
        <v>3</v>
      </c>
      <c r="C19" s="182">
        <f t="shared" si="3"/>
        <v>0.10863616301309402</v>
      </c>
      <c r="D19" s="182">
        <f>D11/D$13</f>
        <v>0.11822773186409551</v>
      </c>
      <c r="E19" s="182">
        <f t="shared" si="3"/>
        <v>0.12319131516382474</v>
      </c>
      <c r="F19" s="182">
        <f t="shared" si="3"/>
        <v>0.13156037531382203</v>
      </c>
    </row>
    <row r="20" spans="1:6" s="9" customFormat="1" ht="15" x14ac:dyDescent="0.25">
      <c r="A20" s="98"/>
      <c r="B20" s="134" t="s">
        <v>4</v>
      </c>
      <c r="C20" s="182">
        <f t="shared" si="3"/>
        <v>1.8066794173900252E-2</v>
      </c>
      <c r="D20" s="182">
        <f>D12/D$13</f>
        <v>1.7757317996552446E-2</v>
      </c>
      <c r="E20" s="182">
        <f t="shared" si="3"/>
        <v>1.764205753152898E-2</v>
      </c>
      <c r="F20" s="182">
        <f t="shared" si="3"/>
        <v>1.7423631812975553E-2</v>
      </c>
    </row>
    <row r="21" spans="1:6" s="9" customFormat="1" ht="15" x14ac:dyDescent="0.25">
      <c r="A21" s="98"/>
      <c r="B21" s="135" t="s">
        <v>44</v>
      </c>
      <c r="C21" s="183">
        <f t="shared" si="3"/>
        <v>1</v>
      </c>
      <c r="D21" s="183">
        <f t="shared" si="3"/>
        <v>1</v>
      </c>
      <c r="E21" s="183">
        <f t="shared" si="3"/>
        <v>1</v>
      </c>
      <c r="F21" s="183">
        <f t="shared" si="3"/>
        <v>1</v>
      </c>
    </row>
    <row r="22" spans="1:6" ht="6" customHeight="1" thickBot="1" x14ac:dyDescent="0.3">
      <c r="A22" s="98"/>
      <c r="B22" s="111"/>
      <c r="C22" s="111"/>
      <c r="D22" s="111"/>
      <c r="E22" s="111"/>
      <c r="F22" s="111"/>
    </row>
    <row r="23" spans="1:6" ht="6" customHeight="1" thickTop="1" x14ac:dyDescent="0.25">
      <c r="A23" s="98"/>
      <c r="B23" s="98"/>
      <c r="C23" s="98"/>
      <c r="D23" s="98"/>
      <c r="E23" s="98"/>
      <c r="F23" s="98"/>
    </row>
    <row r="24" spans="1:6" ht="15" x14ac:dyDescent="0.25">
      <c r="A24" s="98"/>
      <c r="B24" s="200" t="s">
        <v>132</v>
      </c>
      <c r="C24" s="200"/>
      <c r="D24" s="200"/>
      <c r="E24" s="200"/>
      <c r="F24" s="200"/>
    </row>
    <row r="25" spans="1:6" ht="15" x14ac:dyDescent="0.25">
      <c r="A25" s="98"/>
      <c r="B25" s="136" t="s">
        <v>133</v>
      </c>
      <c r="C25" s="136"/>
      <c r="D25" s="136"/>
      <c r="E25" s="136"/>
      <c r="F25" s="136"/>
    </row>
  </sheetData>
  <mergeCells count="1">
    <mergeCell ref="B24:F24"/>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view="pageBreakPreview" zoomScale="60" zoomScaleNormal="100" workbookViewId="0">
      <selection activeCell="F27" sqref="F27"/>
    </sheetView>
  </sheetViews>
  <sheetFormatPr defaultRowHeight="14.5" x14ac:dyDescent="0.35"/>
  <cols>
    <col min="1" max="1" width="38" bestFit="1" customWidth="1"/>
    <col min="2" max="2" width="1.7265625" customWidth="1"/>
    <col min="3" max="3" width="15.26953125" customWidth="1"/>
    <col min="4" max="4" width="16.1796875" bestFit="1" customWidth="1"/>
    <col min="5" max="7" width="16.54296875" bestFit="1" customWidth="1"/>
  </cols>
  <sheetData>
    <row r="1" spans="1:7" s="69" customFormat="1" ht="15" x14ac:dyDescent="0.25"/>
    <row r="2" spans="1:7" s="69" customFormat="1" ht="18.75" x14ac:dyDescent="0.3">
      <c r="A2" s="153" t="s">
        <v>179</v>
      </c>
      <c r="B2" s="153"/>
      <c r="C2" s="153"/>
      <c r="D2" s="153"/>
      <c r="E2" s="153"/>
      <c r="F2" s="153"/>
      <c r="G2" s="153"/>
    </row>
    <row r="3" spans="1:7" s="69" customFormat="1" ht="6" customHeight="1" x14ac:dyDescent="0.25">
      <c r="A3" s="73"/>
      <c r="B3" s="73"/>
      <c r="C3" s="73"/>
      <c r="D3" s="73"/>
      <c r="E3" s="73"/>
      <c r="F3" s="73"/>
      <c r="G3" s="73"/>
    </row>
    <row r="4" spans="1:7" ht="6" customHeight="1" x14ac:dyDescent="0.25">
      <c r="A4" s="5"/>
      <c r="B4" s="5"/>
      <c r="C4" s="5"/>
      <c r="D4" s="5"/>
      <c r="E4" s="5"/>
      <c r="F4" s="5"/>
      <c r="G4" s="5"/>
    </row>
    <row r="5" spans="1:7" ht="15" x14ac:dyDescent="0.25">
      <c r="A5" s="98"/>
      <c r="B5" s="98"/>
      <c r="C5" s="98">
        <v>2013</v>
      </c>
      <c r="D5" s="98">
        <v>2014</v>
      </c>
      <c r="E5" s="98">
        <v>2015</v>
      </c>
      <c r="F5" s="98">
        <v>2016</v>
      </c>
      <c r="G5" s="98">
        <v>2017</v>
      </c>
    </row>
    <row r="6" spans="1:7" s="69" customFormat="1" ht="6" customHeight="1" x14ac:dyDescent="0.25">
      <c r="A6" s="125"/>
      <c r="B6" s="125"/>
      <c r="C6" s="125"/>
      <c r="D6" s="125"/>
      <c r="E6" s="125"/>
      <c r="F6" s="125"/>
      <c r="G6" s="125"/>
    </row>
    <row r="7" spans="1:7" s="69" customFormat="1" ht="6" customHeight="1" x14ac:dyDescent="0.25">
      <c r="A7" s="98"/>
      <c r="B7" s="98"/>
      <c r="C7" s="98"/>
      <c r="D7" s="98"/>
      <c r="E7" s="98"/>
      <c r="F7" s="98"/>
      <c r="G7" s="98"/>
    </row>
    <row r="8" spans="1:7" ht="15" x14ac:dyDescent="0.25">
      <c r="A8" s="98" t="s">
        <v>16</v>
      </c>
      <c r="B8" s="98"/>
      <c r="C8" s="99">
        <v>23659000</v>
      </c>
      <c r="D8" s="99">
        <v>26006000</v>
      </c>
      <c r="E8" s="99">
        <v>25668000</v>
      </c>
      <c r="F8" s="99">
        <v>26070000</v>
      </c>
      <c r="G8" s="99">
        <v>23132000</v>
      </c>
    </row>
    <row r="9" spans="1:7" ht="15" x14ac:dyDescent="0.25">
      <c r="A9" s="98" t="s">
        <v>14</v>
      </c>
      <c r="B9" s="98"/>
      <c r="C9" s="100"/>
      <c r="D9" s="100">
        <v>6153000000</v>
      </c>
      <c r="E9" s="100">
        <v>6280000000</v>
      </c>
      <c r="F9" s="100">
        <v>6593000000</v>
      </c>
      <c r="G9" s="100">
        <v>6740000000</v>
      </c>
    </row>
    <row r="10" spans="1:7" ht="6" customHeight="1" thickBot="1" x14ac:dyDescent="0.3">
      <c r="A10" s="72"/>
      <c r="B10" s="72"/>
      <c r="C10" s="72"/>
      <c r="D10" s="72"/>
      <c r="E10" s="72"/>
      <c r="F10" s="72"/>
      <c r="G10" s="72"/>
    </row>
    <row r="11" spans="1:7" ht="6" customHeight="1" thickTop="1" x14ac:dyDescent="0.25"/>
  </sheetData>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6"/>
  <sheetViews>
    <sheetView view="pageBreakPreview" zoomScale="60" zoomScaleNormal="100" workbookViewId="0">
      <selection activeCell="D9" sqref="D9"/>
    </sheetView>
  </sheetViews>
  <sheetFormatPr defaultRowHeight="14.5" x14ac:dyDescent="0.35"/>
  <cols>
    <col min="2" max="2" width="11.7265625" bestFit="1" customWidth="1"/>
    <col min="3" max="3" width="3.26953125" style="9" bestFit="1" customWidth="1"/>
  </cols>
  <sheetData>
    <row r="1" spans="2:7" s="9" customFormat="1" ht="15" x14ac:dyDescent="0.25"/>
    <row r="2" spans="2:7" s="9" customFormat="1" ht="15" x14ac:dyDescent="0.25"/>
    <row r="3" spans="2:7" ht="18.75" x14ac:dyDescent="0.3">
      <c r="B3" s="42" t="s">
        <v>47</v>
      </c>
      <c r="C3" s="42"/>
    </row>
    <row r="4" spans="2:7" s="9" customFormat="1" ht="6" customHeight="1" thickBot="1" x14ac:dyDescent="0.3">
      <c r="B4" s="1"/>
      <c r="C4" s="1"/>
      <c r="D4" s="1"/>
      <c r="E4" s="1"/>
      <c r="F4" s="1"/>
      <c r="G4" s="1"/>
    </row>
    <row r="5" spans="2:7" s="9" customFormat="1" ht="6" customHeight="1" thickTop="1" x14ac:dyDescent="0.25"/>
    <row r="6" spans="2:7" s="9" customFormat="1" ht="15" customHeight="1" x14ac:dyDescent="0.25">
      <c r="B6" s="4" t="s">
        <v>48</v>
      </c>
      <c r="C6" s="4"/>
      <c r="D6" s="4">
        <v>2014</v>
      </c>
      <c r="E6" s="4">
        <f>D6+1</f>
        <v>2015</v>
      </c>
      <c r="F6" s="4">
        <f t="shared" ref="F6:G6" si="0">E6+1</f>
        <v>2016</v>
      </c>
      <c r="G6" s="4">
        <f t="shared" si="0"/>
        <v>2017</v>
      </c>
    </row>
    <row r="7" spans="2:7" ht="6" customHeight="1" x14ac:dyDescent="0.25">
      <c r="D7" s="98"/>
      <c r="E7" s="98"/>
      <c r="F7" s="98"/>
      <c r="G7" s="98"/>
    </row>
    <row r="8" spans="2:7" ht="15" x14ac:dyDescent="0.25">
      <c r="B8" s="41" t="s">
        <v>1</v>
      </c>
      <c r="C8" s="41" t="s">
        <v>30</v>
      </c>
      <c r="D8" s="103">
        <f>'AT&amp;T Annual Reports'!G22</f>
        <v>60.59577447755094</v>
      </c>
      <c r="E8" s="103">
        <f>'AT&amp;T Annual Reports'!K22</f>
        <v>56.877476867259176</v>
      </c>
      <c r="F8" s="103">
        <f>'AT&amp;T Annual Reports'!O22</f>
        <v>54.570733453056164</v>
      </c>
      <c r="G8" s="103">
        <f>'AT&amp;T Annual Reports'!S22</f>
        <v>52.506262966068896</v>
      </c>
    </row>
    <row r="9" spans="2:7" ht="15" x14ac:dyDescent="0.25">
      <c r="B9" s="41" t="s">
        <v>0</v>
      </c>
      <c r="C9" s="41" t="s">
        <v>31</v>
      </c>
      <c r="D9" s="103">
        <f>INDEX(Retail!$AO$14:$AR$18,MATCH($B9,Retail!$D$14:$D$18,0),MATCH('Table 9'!D$6,Retail!$AO$11:$AR$11,0))</f>
        <v>55.700348432055755</v>
      </c>
      <c r="E9" s="103">
        <f>INDEX(Retail!$AO$14:$AR$18,MATCH($B9,Retail!$D$14:$D$18,0),MATCH('Table 9'!E$6,Retail!$AO$11:$AR$11,0))</f>
        <v>51.218120805369125</v>
      </c>
      <c r="F9" s="103">
        <f>INDEX(Retail!$AO$14:$AR$18,MATCH($B9,Retail!$D$14:$D$18,0),MATCH('Table 9'!F$6,Retail!$AO$11:$AR$11,0))</f>
        <v>47.009771986970684</v>
      </c>
      <c r="G9" s="103">
        <f>INDEX(Retail!$AO$14:$AR$18,MATCH($B9,Retail!$D$14:$D$18,0),MATCH('Table 9'!G$6,Retail!$AO$11:$AR$11,0))</f>
        <v>43.447284345047926</v>
      </c>
    </row>
    <row r="10" spans="2:7" ht="15" x14ac:dyDescent="0.25">
      <c r="B10" s="41" t="s">
        <v>2</v>
      </c>
      <c r="C10" s="41" t="s">
        <v>33</v>
      </c>
      <c r="D10" s="103">
        <f>INDEX(Retail!$AO$14:$AR$18,MATCH($B10,Retail!$D$14:$D$18,0),MATCH('Table 9'!D$6,Retail!$AO$11:$AR$11,0))</f>
        <v>60.18</v>
      </c>
      <c r="E10" s="103">
        <f>INDEX(Retail!$AO$14:$AR$18,MATCH($B10,Retail!$D$14:$D$18,0),MATCH('Table 9'!E$6,Retail!$AO$11:$AR$11,0))</f>
        <v>53.86</v>
      </c>
      <c r="F10" s="103">
        <f>INDEX(Retail!$AO$14:$AR$18,MATCH($B10,Retail!$D$14:$D$18,0),MATCH('Table 9'!F$6,Retail!$AO$11:$AR$11,0))</f>
        <v>50.59</v>
      </c>
      <c r="G10" s="103">
        <f>INDEX(Retail!$AO$14:$AR$18,MATCH($B10,Retail!$D$14:$D$18,0),MATCH('Table 9'!G$6,Retail!$AO$11:$AR$11,0))</f>
        <v>46.14</v>
      </c>
    </row>
    <row r="11" spans="2:7" ht="15" x14ac:dyDescent="0.25">
      <c r="B11" s="41" t="s">
        <v>3</v>
      </c>
      <c r="C11" s="41" t="s">
        <v>34</v>
      </c>
      <c r="D11" s="103">
        <f>INDEX(Retail!$AO$14:$AR$18,MATCH($B11,Retail!$D$14:$D$18,0),MATCH('Table 9'!D$6,Retail!$AO$11:$AR$11,0))</f>
        <v>49.442974905879559</v>
      </c>
      <c r="E11" s="103">
        <f>INDEX(Retail!$AO$14:$AR$18,MATCH($B11,Retail!$D$14:$D$18,0),MATCH('Table 9'!E$6,Retail!$AO$11:$AR$11,0))</f>
        <v>47.6833067671352</v>
      </c>
      <c r="F11" s="103">
        <f>INDEX(Retail!$AO$14:$AR$18,MATCH($B11,Retail!$D$14:$D$18,0),MATCH('Table 9'!F$6,Retail!$AO$11:$AR$11,0))</f>
        <v>47.4702576214845</v>
      </c>
      <c r="G11" s="103">
        <f>INDEX(Retail!$AO$14:$AR$18,MATCH($B11,Retail!$D$14:$D$18,0),MATCH('Table 9'!G$6,Retail!$AO$11:$AR$11,0))</f>
        <v>46.966396694890989</v>
      </c>
    </row>
    <row r="12" spans="2:7" ht="15" x14ac:dyDescent="0.25">
      <c r="B12" s="41" t="s">
        <v>4</v>
      </c>
      <c r="C12" s="41" t="s">
        <v>61</v>
      </c>
      <c r="D12" s="103">
        <f>INDEX(Retail!$AO$14:$AR$18,MATCH($B12,Retail!$D$14:$D$18,0),MATCH('Table 9'!D$6,Retail!$AO$11:$AR$11,0))</f>
        <v>56.75</v>
      </c>
      <c r="E12" s="103">
        <f>INDEX(Retail!$AO$14:$AR$18,MATCH($B12,Retail!$D$14:$D$18,0),MATCH('Table 9'!E$6,Retail!$AO$11:$AR$11,0))</f>
        <v>54.5</v>
      </c>
      <c r="F12" s="103">
        <f>INDEX(Retail!$AO$14:$AR$18,MATCH($B12,Retail!$D$14:$D$18,0),MATCH('Table 9'!F$6,Retail!$AO$11:$AR$11,0))</f>
        <v>46.96</v>
      </c>
      <c r="G12" s="103">
        <f>INDEX(Retail!$AO$14:$AR$18,MATCH($B12,Retail!$D$14:$D$18,0),MATCH('Table 9'!G$6,Retail!$AO$11:$AR$11,0))</f>
        <v>44.38</v>
      </c>
    </row>
    <row r="13" spans="2:7" ht="6" customHeight="1" thickBot="1" x14ac:dyDescent="0.3">
      <c r="B13" s="1"/>
      <c r="C13" s="1"/>
      <c r="D13" s="1"/>
      <c r="E13" s="1"/>
      <c r="F13" s="1"/>
      <c r="G13" s="1"/>
    </row>
    <row r="14" spans="2:7" ht="6" customHeight="1" thickTop="1" x14ac:dyDescent="0.25"/>
    <row r="15" spans="2:7" ht="35.25" customHeight="1" x14ac:dyDescent="0.25">
      <c r="B15" s="199" t="s">
        <v>134</v>
      </c>
      <c r="C15" s="199"/>
      <c r="D15" s="199"/>
      <c r="E15" s="199"/>
      <c r="F15" s="199"/>
      <c r="G15" s="199"/>
    </row>
    <row r="16" spans="2:7" ht="195" customHeight="1" x14ac:dyDescent="0.25">
      <c r="B16" s="199" t="s">
        <v>135</v>
      </c>
      <c r="C16" s="199"/>
      <c r="D16" s="199"/>
      <c r="E16" s="199"/>
      <c r="F16" s="199"/>
      <c r="G16" s="199"/>
    </row>
  </sheetData>
  <mergeCells count="2">
    <mergeCell ref="B15:G15"/>
    <mergeCell ref="B16:G1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BreakPreview" zoomScale="60" zoomScaleNormal="100" workbookViewId="0">
      <selection activeCell="C8" sqref="C8:F25"/>
    </sheetView>
  </sheetViews>
  <sheetFormatPr defaultColWidth="8.7265625" defaultRowHeight="14.5" x14ac:dyDescent="0.35"/>
  <cols>
    <col min="1" max="1" width="8.7265625" style="9"/>
    <col min="2" max="2" width="20.7265625" style="9" customWidth="1"/>
    <col min="3" max="6" width="10.54296875" style="9" customWidth="1"/>
    <col min="7" max="7" width="8.7265625" style="9"/>
    <col min="8" max="8" width="11.1796875" style="9" bestFit="1" customWidth="1"/>
    <col min="9" max="16384" width="8.7265625" style="9"/>
  </cols>
  <sheetData>
    <row r="1" spans="1:6" ht="15" x14ac:dyDescent="0.25">
      <c r="A1" s="9">
        <v>1000000</v>
      </c>
    </row>
    <row r="2" spans="1:6" ht="18.75" x14ac:dyDescent="0.3">
      <c r="B2" s="43" t="s">
        <v>51</v>
      </c>
      <c r="C2" s="29"/>
      <c r="D2" s="29"/>
      <c r="E2" s="29"/>
      <c r="F2" s="29"/>
    </row>
    <row r="3" spans="1:6" ht="6" customHeight="1" thickBot="1" x14ac:dyDescent="0.3">
      <c r="B3" s="1"/>
      <c r="C3" s="1"/>
      <c r="D3" s="1"/>
      <c r="E3" s="1"/>
      <c r="F3" s="1"/>
    </row>
    <row r="4" spans="1:6" ht="6" customHeight="1" thickTop="1" x14ac:dyDescent="0.25"/>
    <row r="5" spans="1:6" ht="15" x14ac:dyDescent="0.25">
      <c r="B5" s="4"/>
      <c r="C5" s="4">
        <v>2014</v>
      </c>
      <c r="D5" s="4">
        <f>C5+1</f>
        <v>2015</v>
      </c>
      <c r="E5" s="4">
        <f t="shared" ref="E5:F5" si="0">D5+1</f>
        <v>2016</v>
      </c>
      <c r="F5" s="4">
        <f t="shared" si="0"/>
        <v>2017</v>
      </c>
    </row>
    <row r="6" spans="1:6" ht="6" customHeight="1" x14ac:dyDescent="0.25"/>
    <row r="7" spans="1:6" ht="15" x14ac:dyDescent="0.25">
      <c r="B7" s="44" t="s">
        <v>123</v>
      </c>
      <c r="C7" s="45"/>
      <c r="D7" s="45"/>
      <c r="E7" s="45"/>
      <c r="F7" s="45"/>
    </row>
    <row r="8" spans="1:6" ht="15" x14ac:dyDescent="0.25">
      <c r="B8" s="40" t="s">
        <v>1</v>
      </c>
      <c r="C8" s="180">
        <f>INDEX(connections!$C$24:$F$30,MATCH('Table 13'!$B8,connections!$B$24:$B$30,0),MATCH('Table 13'!C$5,connections!$C$1:$F$1,0))/$A$1</f>
        <v>10.99</v>
      </c>
      <c r="D8" s="180">
        <f>INDEX(connections!$C$24:$F$30,MATCH('Table 13'!$B8,connections!$B$24:$B$30,0),MATCH('Table 13'!D$5,connections!$C$1:$F$1,0))/$A$1</f>
        <v>11.55</v>
      </c>
      <c r="E8" s="180">
        <f>INDEX(connections!$C$24:$F$30,MATCH('Table 13'!$B8,connections!$B$24:$B$30,0),MATCH('Table 13'!E$5,connections!$C$1:$F$1,0))/$A$1</f>
        <v>13.54</v>
      </c>
      <c r="F8" s="180">
        <f>INDEX(connections!$C$24:$F$30,MATCH('Table 13'!$B8,connections!$B$24:$B$30,0),MATCH('Table 13'!F$5,connections!$C$1:$F$1,0))/$A$1</f>
        <v>15.34</v>
      </c>
    </row>
    <row r="9" spans="1:6" ht="15" x14ac:dyDescent="0.25">
      <c r="B9" s="40" t="s">
        <v>0</v>
      </c>
      <c r="C9" s="180">
        <f>INDEX(connections!$C$24:$F$30,MATCH('Table 13'!$B9,connections!$B$24:$B$30,0),MATCH('Table 13'!C$5,connections!$C$1:$F$1,0))/$A$1</f>
        <v>6.13</v>
      </c>
      <c r="D9" s="180">
        <f>INDEX(connections!$C$24:$F$30,MATCH('Table 13'!$B9,connections!$B$24:$B$30,0),MATCH('Table 13'!D$5,connections!$C$1:$F$1,0))/$A$1</f>
        <v>5.58</v>
      </c>
      <c r="E9" s="180">
        <f>INDEX(connections!$C$24:$F$30,MATCH('Table 13'!$B9,connections!$B$24:$B$30,0),MATCH('Table 13'!E$5,connections!$C$1:$F$1,0))/$A$1</f>
        <v>5.45</v>
      </c>
      <c r="F9" s="180">
        <f>INDEX(connections!$C$24:$F$30,MATCH('Table 13'!$B9,connections!$B$24:$B$30,0),MATCH('Table 13'!F$5,connections!$C$1:$F$1,0))/$A$1</f>
        <v>5.4</v>
      </c>
    </row>
    <row r="10" spans="1:6" ht="15" x14ac:dyDescent="0.25">
      <c r="B10" s="40" t="s">
        <v>2</v>
      </c>
      <c r="C10" s="180">
        <f>INDEX(connections!$C$24:$F$30,MATCH('Table 13'!$B10,connections!$B$24:$B$30,0),MATCH('Table 13'!C$5,connections!$C$1:$F$1,0))/$A$1</f>
        <v>15.54</v>
      </c>
      <c r="D10" s="180">
        <f>INDEX(connections!$C$24:$F$30,MATCH('Table 13'!$B10,connections!$B$24:$B$30,0),MATCH('Table 13'!D$5,connections!$C$1:$F$1,0))/$A$1</f>
        <v>14.66</v>
      </c>
      <c r="E10" s="180">
        <f>INDEX(connections!$C$24:$F$30,MATCH('Table 13'!$B10,connections!$B$24:$B$30,0),MATCH('Table 13'!E$5,connections!$C$1:$F$1,0))/$A$1</f>
        <v>11.81</v>
      </c>
      <c r="F10" s="180">
        <f>INDEX(connections!$C$24:$F$30,MATCH('Table 13'!$B10,connections!$B$24:$B$30,0),MATCH('Table 13'!F$5,connections!$C$1:$F$1,0))/$A$1</f>
        <v>9</v>
      </c>
    </row>
    <row r="11" spans="1:6" ht="15" x14ac:dyDescent="0.25">
      <c r="B11" s="40" t="s">
        <v>3</v>
      </c>
      <c r="C11" s="180">
        <f>INDEX(connections!$C$24:$F$30,MATCH('Table 13'!$B11,connections!$B$24:$B$30,0),MATCH('Table 13'!C$5,connections!$C$1:$F$1,0))/$A$1</f>
        <v>16.32</v>
      </c>
      <c r="D11" s="180">
        <f>INDEX(connections!$C$24:$F$30,MATCH('Table 13'!$B11,connections!$B$24:$B$30,0),MATCH('Table 13'!D$5,connections!$C$1:$F$1,0))/$A$1</f>
        <v>17.63</v>
      </c>
      <c r="E11" s="180">
        <f>INDEX(connections!$C$24:$F$30,MATCH('Table 13'!$B11,connections!$B$24:$B$30,0),MATCH('Table 13'!E$5,connections!$C$1:$F$1,0))/$A$1</f>
        <v>19.8</v>
      </c>
      <c r="F11" s="180">
        <f>INDEX(connections!$C$24:$F$30,MATCH('Table 13'!$B11,connections!$B$24:$B$30,0),MATCH('Table 13'!F$5,connections!$C$1:$F$1,0))/$A$1</f>
        <v>20.7</v>
      </c>
    </row>
    <row r="12" spans="1:6" ht="15" x14ac:dyDescent="0.25">
      <c r="B12" s="40" t="s">
        <v>4</v>
      </c>
      <c r="C12" s="180">
        <f>INDEX(connections!$C$24:$F$30,MATCH('Table 13'!$B12,connections!$B$24:$B$30,0),MATCH('Table 13'!C$5,connections!$C$1:$F$1,0))/$A$1</f>
        <v>0.34799999999999998</v>
      </c>
      <c r="D12" s="180">
        <f>INDEX(connections!$C$24:$F$30,MATCH('Table 13'!$B12,connections!$B$24:$B$30,0),MATCH('Table 13'!D$5,connections!$C$1:$F$1,0))/$A$1</f>
        <v>0.38700000000000001</v>
      </c>
      <c r="E12" s="180">
        <f>INDEX(connections!$C$24:$F$30,MATCH('Table 13'!$B12,connections!$B$24:$B$30,0),MATCH('Table 13'!E$5,connections!$C$1:$F$1,0))/$A$1</f>
        <v>0.48399999999999999</v>
      </c>
      <c r="F12" s="180">
        <f>INDEX(connections!$C$24:$F$30,MATCH('Table 13'!$B12,connections!$B$24:$B$30,0),MATCH('Table 13'!F$5,connections!$C$1:$F$1,0))/$A$1</f>
        <v>0.51900000000000002</v>
      </c>
    </row>
    <row r="13" spans="1:6" ht="15" x14ac:dyDescent="0.25">
      <c r="B13" s="40" t="s">
        <v>53</v>
      </c>
      <c r="C13" s="180">
        <f>INDEX(connections!$C$24:$F$30,MATCH('Table 13'!$B13,connections!$B$24:$B$30,0),MATCH('Table 13'!C$5,connections!$C$1:$F$1,0))/$A$1</f>
        <v>26</v>
      </c>
      <c r="D13" s="180">
        <f>INDEX(connections!$C$24:$F$30,MATCH('Table 13'!$B13,connections!$B$24:$B$30,0),MATCH('Table 13'!D$5,connections!$C$1:$F$1,0))/$A$1</f>
        <v>25.7</v>
      </c>
      <c r="E13" s="180">
        <f>INDEX(connections!$C$24:$F$30,MATCH('Table 13'!$B13,connections!$B$24:$B$30,0),MATCH('Table 13'!E$5,connections!$C$1:$F$1,0))/$A$1</f>
        <v>26.1</v>
      </c>
      <c r="F13" s="180">
        <f>INDEX(connections!$C$24:$F$30,MATCH('Table 13'!$B13,connections!$B$24:$B$30,0),MATCH('Table 13'!F$5,connections!$C$1:$F$1,0))/$A$1</f>
        <v>23.1</v>
      </c>
    </row>
    <row r="14" spans="1:6" s="69" customFormat="1" ht="15" x14ac:dyDescent="0.25">
      <c r="B14" s="75" t="s">
        <v>87</v>
      </c>
      <c r="C14" s="180">
        <f>INDEX(connections!$C$24:$F$30,MATCH('Table 13'!$B14,connections!$B$24:$B$30,0),MATCH('Table 13'!C$5,connections!$C$1:$F$1,0))/$A$1</f>
        <v>13.027784692530908</v>
      </c>
      <c r="D14" s="180">
        <f>INDEX(connections!$C$24:$F$30,MATCH('Table 13'!$B14,connections!$B$24:$B$30,0),MATCH('Table 13'!D$5,connections!$C$1:$F$1,0))/$A$1</f>
        <v>17.751156974025101</v>
      </c>
      <c r="E14" s="180">
        <f>INDEX(connections!$C$24:$F$30,MATCH('Table 13'!$B14,connections!$B$24:$B$30,0),MATCH('Table 13'!E$5,connections!$C$1:$F$1,0))/$A$1</f>
        <v>19.504469926796244</v>
      </c>
      <c r="F14" s="180">
        <f>INDEX(connections!$C$24:$F$30,MATCH('Table 13'!$B14,connections!$B$24:$B$30,0),MATCH('Table 13'!F$5,connections!$C$1:$F$1,0))/$A$1</f>
        <v>19.400503585822054</v>
      </c>
    </row>
    <row r="15" spans="1:6" ht="15" x14ac:dyDescent="0.25">
      <c r="B15" s="46" t="s">
        <v>44</v>
      </c>
      <c r="C15" s="181">
        <f>SUM(C8:C14)</f>
        <v>88.355784692530904</v>
      </c>
      <c r="D15" s="181">
        <f t="shared" ref="D15:F15" si="1">SUM(D8:D14)</f>
        <v>93.258156974025098</v>
      </c>
      <c r="E15" s="181">
        <f t="shared" si="1"/>
        <v>96.688469926796245</v>
      </c>
      <c r="F15" s="181">
        <f t="shared" si="1"/>
        <v>93.459503585822048</v>
      </c>
    </row>
    <row r="16" spans="1:6" ht="6" customHeight="1" x14ac:dyDescent="0.25">
      <c r="C16" s="98"/>
      <c r="D16" s="98"/>
      <c r="E16" s="98"/>
      <c r="F16" s="98"/>
    </row>
    <row r="17" spans="2:8" ht="15" x14ac:dyDescent="0.25">
      <c r="B17" s="44" t="s">
        <v>52</v>
      </c>
      <c r="C17" s="125"/>
      <c r="D17" s="125"/>
      <c r="E17" s="125"/>
      <c r="F17" s="125"/>
    </row>
    <row r="18" spans="2:8" ht="15" x14ac:dyDescent="0.25">
      <c r="B18" s="40" t="s">
        <v>1</v>
      </c>
      <c r="C18" s="182">
        <f t="shared" ref="C18:C24" si="2">C8/C$15</f>
        <v>0.12438348024686868</v>
      </c>
      <c r="D18" s="182">
        <f t="shared" ref="D18:F18" si="3">D8/D$15</f>
        <v>0.12384975614751839</v>
      </c>
      <c r="E18" s="182">
        <f t="shared" si="3"/>
        <v>0.14003737995079724</v>
      </c>
      <c r="F18" s="182">
        <f t="shared" si="3"/>
        <v>0.16413526085031657</v>
      </c>
      <c r="H18" s="78"/>
    </row>
    <row r="19" spans="2:8" ht="15" x14ac:dyDescent="0.25">
      <c r="B19" s="40" t="s">
        <v>0</v>
      </c>
      <c r="C19" s="182">
        <f t="shared" si="2"/>
        <v>6.9378592712766612E-2</v>
      </c>
      <c r="D19" s="182">
        <f t="shared" ref="D19:F23" si="4">D9/D$15</f>
        <v>5.9833908164775122E-2</v>
      </c>
      <c r="E19" s="182">
        <f t="shared" si="4"/>
        <v>5.6366596804419876E-2</v>
      </c>
      <c r="F19" s="182">
        <f t="shared" si="4"/>
        <v>5.7779035762171423E-2</v>
      </c>
      <c r="H19" s="78"/>
    </row>
    <row r="20" spans="2:8" ht="15" x14ac:dyDescent="0.25">
      <c r="B20" s="40" t="s">
        <v>2</v>
      </c>
      <c r="C20" s="182">
        <f t="shared" si="2"/>
        <v>0.17587982557200538</v>
      </c>
      <c r="D20" s="182">
        <f t="shared" si="4"/>
        <v>0.15719804546516186</v>
      </c>
      <c r="E20" s="182">
        <f t="shared" si="4"/>
        <v>0.12214486390095389</v>
      </c>
      <c r="F20" s="182">
        <f t="shared" si="4"/>
        <v>9.6298392936952359E-2</v>
      </c>
      <c r="H20" s="79"/>
    </row>
    <row r="21" spans="2:8" ht="15" x14ac:dyDescent="0.25">
      <c r="B21" s="40" t="s">
        <v>3</v>
      </c>
      <c r="C21" s="182">
        <f t="shared" si="2"/>
        <v>0.18470777048488599</v>
      </c>
      <c r="D21" s="182">
        <f t="shared" si="4"/>
        <v>0.18904512561738088</v>
      </c>
      <c r="E21" s="182">
        <f t="shared" si="4"/>
        <v>0.20478139756468136</v>
      </c>
      <c r="F21" s="182">
        <f t="shared" si="4"/>
        <v>0.22148630375499043</v>
      </c>
    </row>
    <row r="22" spans="2:8" ht="15" x14ac:dyDescent="0.25">
      <c r="B22" s="40" t="s">
        <v>4</v>
      </c>
      <c r="C22" s="182">
        <f t="shared" si="2"/>
        <v>3.9386215765159511E-3</v>
      </c>
      <c r="D22" s="182">
        <f t="shared" si="4"/>
        <v>4.1497710501376293E-3</v>
      </c>
      <c r="E22" s="182">
        <f t="shared" si="4"/>
        <v>5.0057674960255439E-3</v>
      </c>
      <c r="F22" s="182">
        <f t="shared" si="4"/>
        <v>5.5532073260309194E-3</v>
      </c>
    </row>
    <row r="23" spans="2:8" ht="15" x14ac:dyDescent="0.25">
      <c r="B23" s="40" t="s">
        <v>53</v>
      </c>
      <c r="C23" s="182">
        <f t="shared" si="2"/>
        <v>0.29426483042935264</v>
      </c>
      <c r="D23" s="182">
        <f t="shared" si="4"/>
        <v>0.27557911108149113</v>
      </c>
      <c r="E23" s="182">
        <f t="shared" si="4"/>
        <v>0.26993911497162543</v>
      </c>
      <c r="F23" s="182">
        <f t="shared" si="4"/>
        <v>0.24716587520484443</v>
      </c>
    </row>
    <row r="24" spans="2:8" s="69" customFormat="1" ht="15" x14ac:dyDescent="0.25">
      <c r="B24" s="75" t="s">
        <v>87</v>
      </c>
      <c r="C24" s="182">
        <f t="shared" si="2"/>
        <v>0.14744687897760478</v>
      </c>
      <c r="D24" s="182">
        <f t="shared" ref="D24:F24" si="5">D14/D$15</f>
        <v>0.19034428247353499</v>
      </c>
      <c r="E24" s="182">
        <f t="shared" si="5"/>
        <v>0.20172487931149663</v>
      </c>
      <c r="F24" s="182">
        <f t="shared" si="5"/>
        <v>0.20758192416469395</v>
      </c>
    </row>
    <row r="25" spans="2:8" ht="15" x14ac:dyDescent="0.25">
      <c r="B25" s="46" t="s">
        <v>44</v>
      </c>
      <c r="C25" s="183">
        <f>SUM(C18:C24)</f>
        <v>0.99999999999999989</v>
      </c>
      <c r="D25" s="183">
        <f t="shared" ref="D25:F25" si="6">SUM(D18:D24)</f>
        <v>0.99999999999999989</v>
      </c>
      <c r="E25" s="183">
        <f t="shared" si="6"/>
        <v>0.99999999999999989</v>
      </c>
      <c r="F25" s="183">
        <f t="shared" si="6"/>
        <v>1.0000000000000002</v>
      </c>
    </row>
    <row r="26" spans="2:8" ht="6" customHeight="1" thickBot="1" x14ac:dyDescent="0.3">
      <c r="B26" s="1"/>
      <c r="C26" s="1"/>
      <c r="D26" s="1"/>
      <c r="E26" s="1"/>
      <c r="F26" s="1"/>
    </row>
    <row r="27" spans="2:8" ht="6" customHeight="1" thickTop="1" x14ac:dyDescent="0.25"/>
    <row r="28" spans="2:8" ht="282.75" customHeight="1" x14ac:dyDescent="0.35">
      <c r="B28" s="202" t="s">
        <v>129</v>
      </c>
      <c r="C28" s="202"/>
      <c r="D28" s="202"/>
      <c r="E28" s="202"/>
      <c r="F28" s="202"/>
    </row>
    <row r="29" spans="2:8" ht="60.75" customHeight="1" x14ac:dyDescent="0.35">
      <c r="B29" s="201" t="s">
        <v>136</v>
      </c>
      <c r="C29" s="201"/>
      <c r="D29" s="201"/>
      <c r="E29" s="201"/>
      <c r="F29" s="201"/>
    </row>
  </sheetData>
  <mergeCells count="2">
    <mergeCell ref="B29:F29"/>
    <mergeCell ref="B28:F2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L19"/>
  <sheetViews>
    <sheetView view="pageBreakPreview" topLeftCell="A2" zoomScale="60" zoomScaleNormal="100" workbookViewId="0">
      <selection activeCell="C8" sqref="C8:F13"/>
    </sheetView>
  </sheetViews>
  <sheetFormatPr defaultRowHeight="14.5" x14ac:dyDescent="0.35"/>
  <cols>
    <col min="2" max="2" width="11.7265625" customWidth="1"/>
  </cols>
  <sheetData>
    <row r="3" spans="2:6" ht="18.75" x14ac:dyDescent="0.3">
      <c r="B3" s="42" t="s">
        <v>49</v>
      </c>
      <c r="C3" s="9"/>
      <c r="D3" s="9"/>
      <c r="E3" s="9"/>
      <c r="F3" s="9"/>
    </row>
    <row r="4" spans="2:6" ht="6" customHeight="1" thickBot="1" x14ac:dyDescent="0.3">
      <c r="B4" s="1"/>
      <c r="C4" s="1"/>
      <c r="D4" s="1"/>
      <c r="E4" s="1"/>
      <c r="F4" s="1"/>
    </row>
    <row r="5" spans="2:6" ht="6" customHeight="1" thickTop="1" x14ac:dyDescent="0.25">
      <c r="B5" s="9"/>
      <c r="C5" s="9"/>
      <c r="D5" s="9"/>
      <c r="E5" s="9"/>
      <c r="F5" s="9"/>
    </row>
    <row r="6" spans="2:6" ht="15" x14ac:dyDescent="0.25">
      <c r="B6" s="4" t="s">
        <v>48</v>
      </c>
      <c r="C6" s="4">
        <v>2014</v>
      </c>
      <c r="D6" s="4">
        <f>C6+1</f>
        <v>2015</v>
      </c>
      <c r="E6" s="4">
        <f t="shared" ref="E6:F6" si="0">D6+1</f>
        <v>2016</v>
      </c>
      <c r="F6" s="4">
        <f t="shared" si="0"/>
        <v>2017</v>
      </c>
    </row>
    <row r="7" spans="2:6" ht="6" customHeight="1" x14ac:dyDescent="0.25">
      <c r="B7" s="9"/>
      <c r="C7" s="9"/>
      <c r="D7" s="9"/>
      <c r="E7" s="9"/>
      <c r="F7" s="9"/>
    </row>
    <row r="8" spans="2:6" ht="15" x14ac:dyDescent="0.25">
      <c r="B8" s="41" t="s">
        <v>1</v>
      </c>
      <c r="C8" s="142" t="s">
        <v>50</v>
      </c>
      <c r="D8" s="142" t="s">
        <v>50</v>
      </c>
      <c r="E8" s="142" t="s">
        <v>50</v>
      </c>
      <c r="F8" s="142" t="s">
        <v>50</v>
      </c>
    </row>
    <row r="9" spans="2:6" ht="15" x14ac:dyDescent="0.25">
      <c r="B9" s="41" t="s">
        <v>0</v>
      </c>
      <c r="C9" s="142" t="s">
        <v>50</v>
      </c>
      <c r="D9" s="142" t="s">
        <v>50</v>
      </c>
      <c r="E9" s="142" t="s">
        <v>50</v>
      </c>
      <c r="F9" s="142" t="s">
        <v>50</v>
      </c>
    </row>
    <row r="10" spans="2:6" ht="15" x14ac:dyDescent="0.25">
      <c r="B10" s="41" t="s">
        <v>2</v>
      </c>
      <c r="C10" s="142" t="s">
        <v>50</v>
      </c>
      <c r="D10" s="103">
        <f>INDEX(Retail!$U$11:$X$18,MATCH('Table 14'!$B10,Retail!$D$11:$D$18,0), MATCH(D$6,Retail!$U$11:$X$11,0))</f>
        <v>33.39</v>
      </c>
      <c r="E10" s="103">
        <f>INDEX(Retail!$U$11:$X$18,MATCH('Table 14'!$B10,Retail!$D$11:$D$18,0), MATCH(E$6,Retail!$U$11:$X$11,0))</f>
        <v>34.46</v>
      </c>
      <c r="F10" s="103">
        <f>INDEX(Retail!$U$11:$X$18,MATCH('Table 14'!$B10,Retail!$D$11:$D$18,0), MATCH(F$6,Retail!$U$11:$X$11,0))</f>
        <v>37.67</v>
      </c>
    </row>
    <row r="11" spans="2:6" ht="15" x14ac:dyDescent="0.25">
      <c r="B11" s="41" t="s">
        <v>3</v>
      </c>
      <c r="C11" s="103">
        <f>INDEX(Retail!$U$11:$X$18,MATCH('Table 14'!$B11,Retail!$D$11:$D$18,0), MATCH(C$6,Retail!$U$11:$X$11,0))</f>
        <v>37.101948038153502</v>
      </c>
      <c r="D11" s="103">
        <f>INDEX(Retail!$U$11:$X$18,MATCH('Table 14'!$B11,Retail!$D$11:$D$18,0), MATCH(D$6,Retail!$U$11:$X$11,0))</f>
        <v>37.680595466155815</v>
      </c>
      <c r="E11" s="103">
        <f>INDEX(Retail!$U$11:$X$18,MATCH('Table 14'!$B11,Retail!$D$11:$D$18,0), MATCH(E$6,Retail!$U$11:$X$11,0))</f>
        <v>37.918284832686062</v>
      </c>
      <c r="F11" s="103">
        <f>INDEX(Retail!$U$11:$X$18,MATCH('Table 14'!$B11,Retail!$D$11:$D$18,0), MATCH(F$6,Retail!$U$11:$X$11,0))</f>
        <v>38.688708506566357</v>
      </c>
    </row>
    <row r="12" spans="2:6" ht="15" x14ac:dyDescent="0.25">
      <c r="B12" s="41" t="s">
        <v>4</v>
      </c>
      <c r="C12" s="103">
        <f>INDEX(Retail!$U$11:$X$19,MATCH('Table 14'!$B12,Retail!$D$11:$D$19,0), MATCH(C$6,Retail!$U$11:$X$11,0))</f>
        <v>33.983072546230439</v>
      </c>
      <c r="D12" s="103">
        <f>INDEX(Retail!$U$11:$X$19,MATCH('Table 14'!$B12,Retail!$D$11:$D$19,0), MATCH(D$6,Retail!$U$11:$X$11,0))</f>
        <v>35.717070234113713</v>
      </c>
      <c r="E12" s="103">
        <f>INDEX(Retail!$U$11:$X$19,MATCH('Table 14'!$B12,Retail!$D$11:$D$19,0), MATCH(E$6,Retail!$U$11:$X$11,0))</f>
        <v>34.375129504504507</v>
      </c>
      <c r="F12" s="103">
        <f>INDEX(Retail!$U$11:$X$19,MATCH('Table 14'!$B12,Retail!$D$11:$D$19,0), MATCH(F$6,Retail!$U$11:$X$11,0))</f>
        <v>33.164794794794794</v>
      </c>
    </row>
    <row r="13" spans="2:6" s="9" customFormat="1" ht="15" x14ac:dyDescent="0.25">
      <c r="B13" s="41" t="s">
        <v>53</v>
      </c>
      <c r="C13" s="103">
        <f>INDEX(Retail!$U$11:$X$19,MATCH('Table 14'!$B13,Retail!$D$11:$D$19,0), MATCH(C$6,Retail!$U$11:$X$11,0))</f>
        <v>20.648343904157858</v>
      </c>
      <c r="D13" s="103">
        <f>INDEX(Retail!$U$11:$X$19,MATCH('Table 14'!$B13,Retail!$D$11:$D$19,0), MATCH(D$6,Retail!$U$11:$X$11,0))</f>
        <v>20.255189585994245</v>
      </c>
      <c r="E13" s="103">
        <f>INDEX(Retail!$U$11:$X$19,MATCH('Table 14'!$B13,Retail!$D$11:$D$19,0), MATCH(E$6,Retail!$U$11:$X$11,0))</f>
        <v>21.238419214761553</v>
      </c>
      <c r="F13" s="103">
        <f>INDEX(Retail!$U$11:$X$19,MATCH('Table 14'!$B13,Retail!$D$11:$D$19,0), MATCH(F$6,Retail!$U$11:$X$11,0))</f>
        <v>22.831050228310502</v>
      </c>
    </row>
    <row r="14" spans="2:6" ht="6" customHeight="1" thickBot="1" x14ac:dyDescent="0.3">
      <c r="B14" s="1"/>
      <c r="C14" s="1"/>
      <c r="D14" s="1"/>
      <c r="E14" s="1"/>
      <c r="F14" s="1"/>
    </row>
    <row r="15" spans="2:6" ht="6" customHeight="1" thickTop="1" x14ac:dyDescent="0.25">
      <c r="B15" s="9"/>
      <c r="C15" s="9"/>
      <c r="D15" s="9"/>
      <c r="E15" s="9"/>
      <c r="F15" s="9"/>
    </row>
    <row r="16" spans="2:6" ht="15" x14ac:dyDescent="0.25">
      <c r="B16" s="201" t="s">
        <v>137</v>
      </c>
      <c r="C16" s="201"/>
      <c r="D16" s="201"/>
      <c r="E16" s="201"/>
      <c r="F16" s="201"/>
    </row>
    <row r="17" spans="2:12" ht="121.5" customHeight="1" x14ac:dyDescent="0.35">
      <c r="B17" s="201" t="s">
        <v>138</v>
      </c>
      <c r="C17" s="201"/>
      <c r="D17" s="201"/>
      <c r="E17" s="201"/>
      <c r="F17" s="201"/>
    </row>
    <row r="19" spans="2:12" ht="15" x14ac:dyDescent="0.25">
      <c r="L19" s="9"/>
    </row>
  </sheetData>
  <mergeCells count="2">
    <mergeCell ref="B16:F16"/>
    <mergeCell ref="B17:F1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BreakPreview" zoomScale="60" zoomScaleNormal="100" workbookViewId="0">
      <selection activeCell="C9" sqref="C9:E11"/>
    </sheetView>
  </sheetViews>
  <sheetFormatPr defaultColWidth="8.81640625" defaultRowHeight="14.5" x14ac:dyDescent="0.35"/>
  <cols>
    <col min="1" max="1" width="8.81640625" style="9"/>
    <col min="2" max="2" width="11.7265625" style="9" bestFit="1" customWidth="1"/>
    <col min="3" max="3" width="12.7265625" style="9" customWidth="1"/>
    <col min="4" max="4" width="14.7265625" style="9" customWidth="1"/>
    <col min="5" max="5" width="10.26953125" style="9" bestFit="1" customWidth="1"/>
    <col min="6" max="6" width="7.81640625" style="9" customWidth="1"/>
    <col min="7" max="16384" width="8.81640625" style="9"/>
  </cols>
  <sheetData>
    <row r="1" spans="1:7" s="81" customFormat="1" ht="15" x14ac:dyDescent="0.25">
      <c r="A1" s="81">
        <v>1000000</v>
      </c>
      <c r="C1" s="83" t="s">
        <v>113</v>
      </c>
      <c r="D1" s="106">
        <f>9/12</f>
        <v>0.75</v>
      </c>
      <c r="E1" s="106">
        <v>12</v>
      </c>
    </row>
    <row r="3" spans="1:7" ht="18.75" x14ac:dyDescent="0.3">
      <c r="B3" s="42" t="s">
        <v>88</v>
      </c>
    </row>
    <row r="4" spans="1:7" ht="6" customHeight="1" thickBot="1" x14ac:dyDescent="0.3">
      <c r="B4" s="1"/>
      <c r="C4" s="1"/>
      <c r="D4" s="1"/>
      <c r="E4" s="1"/>
    </row>
    <row r="5" spans="1:7" ht="6" customHeight="1" thickTop="1" x14ac:dyDescent="0.25"/>
    <row r="6" spans="1:7" ht="30" x14ac:dyDescent="0.25">
      <c r="B6" s="5" t="s">
        <v>48</v>
      </c>
      <c r="C6" s="84" t="s">
        <v>121</v>
      </c>
      <c r="D6" s="84" t="s">
        <v>124</v>
      </c>
      <c r="E6" s="52" t="s">
        <v>63</v>
      </c>
    </row>
    <row r="7" spans="1:7" ht="15" customHeight="1" x14ac:dyDescent="0.25">
      <c r="B7" s="4"/>
      <c r="C7" s="53" t="s">
        <v>64</v>
      </c>
      <c r="D7" s="53" t="s">
        <v>65</v>
      </c>
      <c r="E7" s="53" t="s">
        <v>66</v>
      </c>
    </row>
    <row r="8" spans="1:7" ht="6" customHeight="1" x14ac:dyDescent="0.25"/>
    <row r="9" spans="1:7" ht="15" x14ac:dyDescent="0.25">
      <c r="B9" s="41" t="s">
        <v>2</v>
      </c>
      <c r="C9" s="184">
        <f>Wholesale!O15/$A$1</f>
        <v>13.363</v>
      </c>
      <c r="D9" s="100">
        <f>Wholesale!Q15/D1/$A$1</f>
        <v>1178.6666666666667</v>
      </c>
      <c r="E9" s="103">
        <f>D9/C9/$E$1</f>
        <v>7.3503122219727777</v>
      </c>
      <c r="F9" s="11"/>
    </row>
    <row r="10" spans="1:7" ht="15" x14ac:dyDescent="0.25">
      <c r="B10" s="41" t="s">
        <v>3</v>
      </c>
      <c r="C10" s="184">
        <f>Wholesale!O16/$A$1</f>
        <v>13.278499999999999</v>
      </c>
      <c r="D10" s="100">
        <f>Wholesale!Q16/A1</f>
        <v>1102</v>
      </c>
      <c r="E10" s="103">
        <f t="shared" ref="E10:E11" si="0">D10/C10/$E$1</f>
        <v>6.9159418106964905</v>
      </c>
      <c r="G10" s="69"/>
    </row>
    <row r="11" spans="1:7" ht="15" x14ac:dyDescent="0.25">
      <c r="B11" s="51" t="s">
        <v>44</v>
      </c>
      <c r="C11" s="185">
        <f>SUM(C9:C10)</f>
        <v>26.641500000000001</v>
      </c>
      <c r="D11" s="186">
        <f>SUM(D9:D10)</f>
        <v>2280.666666666667</v>
      </c>
      <c r="E11" s="187">
        <f t="shared" si="0"/>
        <v>7.1338158720625939</v>
      </c>
      <c r="G11" s="69"/>
    </row>
    <row r="12" spans="1:7" ht="6" customHeight="1" thickBot="1" x14ac:dyDescent="0.3">
      <c r="B12" s="1"/>
      <c r="C12" s="1"/>
      <c r="D12" s="1"/>
      <c r="E12" s="1"/>
    </row>
    <row r="13" spans="1:7" ht="6" customHeight="1" thickTop="1" x14ac:dyDescent="0.25"/>
    <row r="14" spans="1:7" ht="45.75" customHeight="1" x14ac:dyDescent="0.25">
      <c r="B14" s="201" t="s">
        <v>139</v>
      </c>
      <c r="C14" s="201"/>
      <c r="D14" s="201"/>
      <c r="E14" s="201"/>
    </row>
    <row r="15" spans="1:7" ht="15" x14ac:dyDescent="0.25">
      <c r="B15" s="88" t="s">
        <v>140</v>
      </c>
    </row>
    <row r="16" spans="1:7" ht="62.25" customHeight="1" x14ac:dyDescent="0.35">
      <c r="B16" s="201" t="s">
        <v>141</v>
      </c>
      <c r="C16" s="201"/>
      <c r="D16" s="201"/>
      <c r="E16" s="201"/>
    </row>
    <row r="17" spans="2:5" ht="36.75" customHeight="1" x14ac:dyDescent="0.25">
      <c r="B17" s="201" t="s">
        <v>142</v>
      </c>
      <c r="C17" s="201"/>
      <c r="D17" s="201"/>
      <c r="E17" s="201"/>
    </row>
    <row r="18" spans="2:5" ht="15" x14ac:dyDescent="0.25">
      <c r="B18" s="201" t="s">
        <v>143</v>
      </c>
      <c r="C18" s="201"/>
      <c r="D18" s="201"/>
      <c r="E18" s="201"/>
    </row>
  </sheetData>
  <mergeCells count="4">
    <mergeCell ref="B14:E14"/>
    <mergeCell ref="B17:E17"/>
    <mergeCell ref="B16:E16"/>
    <mergeCell ref="B18:E18"/>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view="pageBreakPreview" zoomScale="60" zoomScaleNormal="100" workbookViewId="0"/>
  </sheetViews>
  <sheetFormatPr defaultColWidth="8.81640625" defaultRowHeight="14.5" x14ac:dyDescent="0.35"/>
  <cols>
    <col min="1" max="1" width="8.81640625" style="69"/>
    <col min="2" max="2" width="26.453125" style="69" customWidth="1"/>
    <col min="3" max="3" width="14.7265625" style="69" customWidth="1"/>
    <col min="4" max="4" width="12.26953125" style="69" bestFit="1" customWidth="1"/>
    <col min="5" max="5" width="1.7265625" style="69" customWidth="1"/>
    <col min="6" max="6" width="15.1796875" style="69" customWidth="1"/>
    <col min="7" max="7" width="12.26953125" style="69" bestFit="1" customWidth="1"/>
    <col min="8" max="8" width="1.7265625" style="69" customWidth="1"/>
    <col min="9" max="9" width="14.453125" style="69" customWidth="1"/>
    <col min="10" max="10" width="12.26953125" style="69" bestFit="1" customWidth="1"/>
    <col min="11" max="16384" width="8.81640625" style="69"/>
  </cols>
  <sheetData>
    <row r="1" spans="1:10" s="81" customFormat="1" ht="15" x14ac:dyDescent="0.25">
      <c r="A1" s="106">
        <v>1000000</v>
      </c>
      <c r="B1" s="106"/>
      <c r="C1" s="106">
        <v>10000</v>
      </c>
    </row>
    <row r="3" spans="1:10" ht="18.75" x14ac:dyDescent="0.3">
      <c r="B3" s="87" t="s">
        <v>126</v>
      </c>
      <c r="C3" s="71"/>
      <c r="D3" s="71"/>
    </row>
    <row r="4" spans="1:10" ht="6" customHeight="1" thickBot="1" x14ac:dyDescent="0.3">
      <c r="B4" s="72"/>
      <c r="C4" s="72"/>
      <c r="D4" s="72"/>
      <c r="E4" s="72"/>
      <c r="F4" s="72"/>
      <c r="G4" s="72"/>
      <c r="H4" s="72"/>
      <c r="I4" s="72"/>
      <c r="J4" s="72"/>
    </row>
    <row r="5" spans="1:10" ht="6" customHeight="1" thickTop="1" x14ac:dyDescent="0.25"/>
    <row r="6" spans="1:10" ht="14.65" customHeight="1" x14ac:dyDescent="0.25">
      <c r="C6" s="71" t="s">
        <v>125</v>
      </c>
      <c r="D6" s="71"/>
      <c r="F6" s="71" t="s">
        <v>127</v>
      </c>
      <c r="G6" s="71"/>
      <c r="I6" s="71" t="s">
        <v>128</v>
      </c>
      <c r="J6" s="71"/>
    </row>
    <row r="7" spans="1:10" ht="6" customHeight="1" x14ac:dyDescent="0.25">
      <c r="C7" s="73"/>
      <c r="D7" s="73"/>
      <c r="F7" s="73"/>
      <c r="G7" s="73"/>
      <c r="I7" s="73"/>
      <c r="J7" s="73"/>
    </row>
    <row r="8" spans="1:10" ht="6" customHeight="1" x14ac:dyDescent="0.25"/>
    <row r="9" spans="1:10" ht="30" x14ac:dyDescent="0.25">
      <c r="B9" s="73" t="s">
        <v>48</v>
      </c>
      <c r="C9" s="85" t="s">
        <v>121</v>
      </c>
      <c r="D9" s="86" t="s">
        <v>115</v>
      </c>
      <c r="E9" s="48"/>
      <c r="F9" s="85" t="s">
        <v>121</v>
      </c>
      <c r="G9" s="86" t="s">
        <v>115</v>
      </c>
      <c r="H9" s="48"/>
      <c r="I9" s="85" t="s">
        <v>121</v>
      </c>
      <c r="J9" s="86" t="s">
        <v>115</v>
      </c>
    </row>
    <row r="10" spans="1:10" ht="6" customHeight="1" x14ac:dyDescent="0.25">
      <c r="C10" s="138"/>
      <c r="D10" s="138"/>
      <c r="E10" s="98"/>
      <c r="F10" s="98"/>
      <c r="G10" s="98"/>
      <c r="H10" s="98"/>
      <c r="I10" s="98"/>
      <c r="J10" s="98"/>
    </row>
    <row r="11" spans="1:10" ht="15" x14ac:dyDescent="0.25">
      <c r="B11" s="75" t="s">
        <v>1</v>
      </c>
      <c r="C11" s="188">
        <f>connections!F8/$A$1</f>
        <v>141.6</v>
      </c>
      <c r="D11" s="189">
        <f>C11/$C$16</f>
        <v>0.33783703180582958</v>
      </c>
      <c r="E11" s="143"/>
      <c r="F11" s="188">
        <f>INDEX('Table 8'!$F$8:$F$12,MATCH('Table 17'!B11,'Table 8'!$B$8:$B$12,0))</f>
        <v>77.875</v>
      </c>
      <c r="G11" s="189">
        <f>F11/$F$16</f>
        <v>0.30032433099501354</v>
      </c>
      <c r="H11" s="143"/>
      <c r="I11" s="188">
        <f>(INDEX(connections!$F$24:$F$28,MATCH('Table 17'!B11,connections!$B$24:$B$28,0))+INDEX(connections!$F$34:$F$37,MATCH('Table 17'!B11,connections!$B$34:$B$37,0)))/$A$1</f>
        <v>24.706</v>
      </c>
      <c r="J11" s="189">
        <f>I11/$I$16</f>
        <v>0.26434978843337165</v>
      </c>
    </row>
    <row r="12" spans="1:10" ht="15" x14ac:dyDescent="0.25">
      <c r="B12" s="75" t="s">
        <v>0</v>
      </c>
      <c r="C12" s="188">
        <f>connections!F9/$A$1</f>
        <v>145.30000000000001</v>
      </c>
      <c r="D12" s="189">
        <f t="shared" ref="D12:D15" si="0">C12/$C$16</f>
        <v>0.34666469436007802</v>
      </c>
      <c r="E12" s="143"/>
      <c r="F12" s="188">
        <f>INDEX('Table 8'!$F$8:$F$12,MATCH('Table 17'!B12,'Table 8'!$B$8:$B$12,0))</f>
        <v>110.854</v>
      </c>
      <c r="G12" s="189">
        <f t="shared" ref="G12:G15" si="1">F12/$F$16</f>
        <v>0.42750758764842672</v>
      </c>
      <c r="H12" s="143"/>
      <c r="I12" s="188">
        <f>(INDEX(connections!$F$24:$F$28,MATCH('Table 17'!B12,connections!$B$24:$B$28,0))+INDEX(connections!$F$34:$F$37,MATCH('Table 17'!B12,connections!$B$34:$B$37,0)))/$A$1</f>
        <v>11.022503585822053</v>
      </c>
      <c r="J12" s="189">
        <f t="shared" ref="J12:J15" si="2">I12/$I$16</f>
        <v>0.1179388201618287</v>
      </c>
    </row>
    <row r="13" spans="1:10" ht="15" x14ac:dyDescent="0.25">
      <c r="B13" s="75" t="s">
        <v>2</v>
      </c>
      <c r="C13" s="188">
        <f>connections!F10/$A$1</f>
        <v>54.6</v>
      </c>
      <c r="D13" s="189">
        <f t="shared" si="0"/>
        <v>0.13026766904377329</v>
      </c>
      <c r="E13" s="143"/>
      <c r="F13" s="188">
        <f>INDEX('Table 8'!$F$8:$F$12,MATCH('Table 17'!B13,'Table 8'!$B$8:$B$12,0))</f>
        <v>31.942</v>
      </c>
      <c r="G13" s="189">
        <f t="shared" si="1"/>
        <v>0.12318407422976209</v>
      </c>
      <c r="H13" s="143"/>
      <c r="I13" s="188">
        <f>(INDEX(connections!$F$24:$F$28,MATCH('Table 17'!B13,connections!$B$24:$B$28,0))+INDEX(connections!$F$34:$F$37,MATCH('Table 17'!B13,connections!$B$34:$B$37,0)))/$A$1</f>
        <v>22.641999999999999</v>
      </c>
      <c r="J13" s="189">
        <f t="shared" si="2"/>
        <v>0.24226535698649723</v>
      </c>
    </row>
    <row r="14" spans="1:10" ht="15" x14ac:dyDescent="0.25">
      <c r="B14" s="75" t="s">
        <v>3</v>
      </c>
      <c r="C14" s="188">
        <f>connections!F11/$A$1</f>
        <v>72.599999999999994</v>
      </c>
      <c r="D14" s="189">
        <f t="shared" si="0"/>
        <v>0.1732130544428194</v>
      </c>
      <c r="E14" s="143"/>
      <c r="F14" s="188">
        <f>INDEX('Table 8'!$F$8:$F$12,MATCH('Table 17'!B14,'Table 8'!$B$8:$B$12,0))</f>
        <v>34.113999999999997</v>
      </c>
      <c r="G14" s="189">
        <f t="shared" si="1"/>
        <v>0.13156037531382203</v>
      </c>
      <c r="H14" s="143"/>
      <c r="I14" s="188">
        <f>(INDEX(connections!$F$24:$F$28,MATCH('Table 17'!B14,connections!$B$24:$B$28,0))+INDEX(connections!$F$34:$F$37,MATCH('Table 17'!B14,connections!$B$34:$B$37,0)))/$A$1</f>
        <v>34.57</v>
      </c>
      <c r="J14" s="189">
        <f t="shared" si="2"/>
        <v>0.36989282709227139</v>
      </c>
    </row>
    <row r="15" spans="1:10" ht="15" x14ac:dyDescent="0.25">
      <c r="B15" s="75" t="s">
        <v>4</v>
      </c>
      <c r="C15" s="188">
        <f>connections!F12/$A$1</f>
        <v>5.0369999999999999</v>
      </c>
      <c r="D15" s="189">
        <f t="shared" si="0"/>
        <v>1.2017550347499743E-2</v>
      </c>
      <c r="E15" s="143"/>
      <c r="F15" s="188">
        <f>INDEX('Table 8'!$F$8:$F$12,MATCH('Table 17'!B15,'Table 8'!$B$8:$B$12,0))</f>
        <v>4.5179999999999998</v>
      </c>
      <c r="G15" s="189">
        <f t="shared" si="1"/>
        <v>1.7423631812975553E-2</v>
      </c>
      <c r="H15" s="143"/>
      <c r="I15" s="188">
        <f>(INDEX(connections!$F$24:$F$28,MATCH('Table 17'!B15,connections!$B$24:$B$28,0))+IFERROR(INDEX(connections!$F$34:$F$37,MATCH('Table 17'!B15,connections!$B$34:$B$37,0)),0))/$A$1</f>
        <v>0.51900000000000002</v>
      </c>
      <c r="J15" s="189">
        <f t="shared" si="2"/>
        <v>5.5532073260309185E-3</v>
      </c>
    </row>
    <row r="16" spans="1:10" ht="15" x14ac:dyDescent="0.25">
      <c r="B16" s="76" t="s">
        <v>44</v>
      </c>
      <c r="C16" s="190">
        <f>SUM(C11:C15)</f>
        <v>419.137</v>
      </c>
      <c r="D16" s="144">
        <f>SUM(D11:D15)</f>
        <v>1.0000000000000002</v>
      </c>
      <c r="E16" s="143"/>
      <c r="F16" s="190">
        <f>SUM(F11:F15)</f>
        <v>259.303</v>
      </c>
      <c r="G16" s="144">
        <f>SUM(G11:G15)</f>
        <v>1</v>
      </c>
      <c r="H16" s="143"/>
      <c r="I16" s="190">
        <f>SUM(I11:I15)</f>
        <v>93.459503585822063</v>
      </c>
      <c r="J16" s="144">
        <f>SUM(J11:J15)</f>
        <v>1</v>
      </c>
    </row>
    <row r="17" spans="2:11" ht="15" x14ac:dyDescent="0.25">
      <c r="B17" s="76"/>
      <c r="C17" s="145"/>
      <c r="D17" s="144"/>
      <c r="E17" s="143"/>
      <c r="F17" s="143"/>
      <c r="G17" s="143"/>
      <c r="H17" s="143"/>
      <c r="I17" s="143"/>
      <c r="J17" s="143"/>
    </row>
    <row r="18" spans="2:11" ht="15" x14ac:dyDescent="0.25">
      <c r="B18" s="76" t="s">
        <v>119</v>
      </c>
      <c r="C18" s="145">
        <f>C13+C14</f>
        <v>127.19999999999999</v>
      </c>
      <c r="D18" s="144">
        <f>SUM(D13,D14)</f>
        <v>0.30348072348659272</v>
      </c>
      <c r="E18" s="143"/>
      <c r="F18" s="145">
        <f>F13+F14</f>
        <v>66.055999999999997</v>
      </c>
      <c r="G18" s="144">
        <f>SUM(G13,G14)</f>
        <v>0.25474444954358411</v>
      </c>
      <c r="H18" s="143"/>
      <c r="I18" s="145">
        <f>I13+I14</f>
        <v>57.212000000000003</v>
      </c>
      <c r="J18" s="144">
        <f>SUM(J13,J14)</f>
        <v>0.61215818407876865</v>
      </c>
    </row>
    <row r="19" spans="2:11" ht="15" x14ac:dyDescent="0.25">
      <c r="B19" s="76" t="s">
        <v>116</v>
      </c>
      <c r="C19" s="145">
        <f>SUMPRODUCT(D11:D15,D11:D15)*$C$1</f>
        <v>2814.2711971900326</v>
      </c>
      <c r="D19" s="144"/>
      <c r="E19" s="143"/>
      <c r="F19" s="145">
        <f>SUMPRODUCT(G11:G15,G11:G15)*$C$1</f>
        <v>3057.4347272669111</v>
      </c>
      <c r="G19" s="144"/>
      <c r="H19" s="143"/>
      <c r="I19" s="145">
        <f>SUMPRODUCT(J11:J15,J11:J15)*$C$1</f>
        <v>2793.3442078764633</v>
      </c>
      <c r="J19" s="144"/>
    </row>
    <row r="20" spans="2:11" ht="15" x14ac:dyDescent="0.25">
      <c r="B20" s="76" t="s">
        <v>118</v>
      </c>
      <c r="C20" s="145">
        <f>ROUND(C19,0)+ROUND(C21,0)</f>
        <v>3265</v>
      </c>
      <c r="D20" s="144"/>
      <c r="E20" s="143"/>
      <c r="F20" s="145">
        <f>ROUND(F19,0)+ROUND(F21,0)</f>
        <v>3381</v>
      </c>
      <c r="G20" s="144"/>
      <c r="H20" s="143"/>
      <c r="I20" s="145">
        <f>ROUND(I19,0)+ROUND(I21,0)</f>
        <v>4585</v>
      </c>
      <c r="J20" s="144"/>
      <c r="K20" s="58"/>
    </row>
    <row r="21" spans="2:11" ht="15" x14ac:dyDescent="0.25">
      <c r="B21" s="76" t="s">
        <v>117</v>
      </c>
      <c r="C21" s="145">
        <f>2*D13*D14*$C$1</f>
        <v>451.28121700436566</v>
      </c>
      <c r="D21" s="144"/>
      <c r="E21" s="143"/>
      <c r="F21" s="145">
        <f>2*G13*G14*$C$1</f>
        <v>324.12286076706425</v>
      </c>
      <c r="G21" s="144"/>
      <c r="H21" s="143"/>
      <c r="I21" s="145">
        <f>2*J13*J14*$C$1</f>
        <v>1792.2443560450765</v>
      </c>
      <c r="J21" s="144"/>
    </row>
    <row r="22" spans="2:11" ht="6" customHeight="1" thickBot="1" x14ac:dyDescent="0.3">
      <c r="B22" s="72"/>
      <c r="C22" s="72"/>
      <c r="D22" s="72"/>
      <c r="E22" s="72"/>
      <c r="F22" s="72"/>
      <c r="G22" s="72"/>
      <c r="H22" s="72"/>
      <c r="I22" s="72"/>
      <c r="J22" s="72"/>
    </row>
    <row r="23" spans="2:11" ht="6" customHeight="1" thickTop="1" x14ac:dyDescent="0.25"/>
    <row r="24" spans="2:11" ht="59.25" customHeight="1" x14ac:dyDescent="0.35">
      <c r="B24" s="203" t="s">
        <v>144</v>
      </c>
      <c r="C24" s="203"/>
      <c r="D24" s="203"/>
      <c r="E24" s="203"/>
      <c r="F24" s="203"/>
      <c r="G24" s="203"/>
      <c r="H24" s="203"/>
      <c r="I24" s="203"/>
      <c r="J24" s="203"/>
    </row>
    <row r="25" spans="2:11" ht="49.5" customHeight="1" x14ac:dyDescent="0.35">
      <c r="B25" s="201" t="s">
        <v>145</v>
      </c>
      <c r="C25" s="201"/>
      <c r="D25" s="201"/>
      <c r="E25" s="201"/>
      <c r="F25" s="201"/>
      <c r="G25" s="201"/>
      <c r="H25" s="201"/>
      <c r="I25" s="201"/>
      <c r="J25" s="201"/>
    </row>
    <row r="26" spans="2:11" ht="30" customHeight="1" x14ac:dyDescent="0.25">
      <c r="B26" s="201" t="s">
        <v>146</v>
      </c>
      <c r="C26" s="201"/>
      <c r="D26" s="201"/>
      <c r="E26" s="201"/>
      <c r="F26" s="201"/>
      <c r="G26" s="201"/>
      <c r="H26" s="201"/>
      <c r="I26" s="201"/>
      <c r="J26" s="201"/>
    </row>
  </sheetData>
  <mergeCells count="3">
    <mergeCell ref="B24:J24"/>
    <mergeCell ref="B25:J25"/>
    <mergeCell ref="B26:J26"/>
  </mergeCells>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
  <sheetViews>
    <sheetView topLeftCell="A1048576" workbookViewId="0">
      <selection activeCell="D21" sqref="A1:XFD1048576"/>
    </sheetView>
  </sheetViews>
  <sheetFormatPr defaultRowHeight="14.5" zeroHeight="1" x14ac:dyDescent="0.35"/>
  <sheetData>
    <row r="1" ht="15" hidden="1" x14ac:dyDescent="0.25"/>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53"/>
  <sheetViews>
    <sheetView view="pageBreakPreview" zoomScale="60" zoomScaleNormal="85" workbookViewId="0">
      <selection activeCell="B49" sqref="B49:F49"/>
    </sheetView>
  </sheetViews>
  <sheetFormatPr defaultColWidth="8.81640625" defaultRowHeight="14.5" x14ac:dyDescent="0.35"/>
  <cols>
    <col min="1" max="1" width="8.81640625" style="69"/>
    <col min="2" max="2" width="29.81640625" style="69" bestFit="1" customWidth="1"/>
    <col min="3" max="3" width="18.453125" style="82" bestFit="1" customWidth="1"/>
    <col min="4" max="6" width="18.453125" style="69" bestFit="1" customWidth="1"/>
    <col min="7" max="16384" width="8.81640625" style="69"/>
  </cols>
  <sheetData>
    <row r="1" spans="2:6" ht="15" x14ac:dyDescent="0.25">
      <c r="C1" s="82">
        <v>2014</v>
      </c>
      <c r="D1" s="69">
        <v>2015</v>
      </c>
      <c r="E1" s="69">
        <v>2016</v>
      </c>
      <c r="F1" s="69">
        <v>2017</v>
      </c>
    </row>
    <row r="2" spans="2:6" ht="18.75" x14ac:dyDescent="0.3">
      <c r="B2" s="70" t="s">
        <v>77</v>
      </c>
      <c r="C2" s="68"/>
      <c r="D2" s="71"/>
      <c r="E2" s="71"/>
      <c r="F2" s="71"/>
    </row>
    <row r="3" spans="2:6" ht="6" customHeight="1" thickBot="1" x14ac:dyDescent="0.3">
      <c r="B3" s="72"/>
      <c r="C3" s="67"/>
      <c r="D3" s="72"/>
      <c r="E3" s="72"/>
      <c r="F3" s="72"/>
    </row>
    <row r="4" spans="2:6" ht="6" customHeight="1" thickTop="1" x14ac:dyDescent="0.25"/>
    <row r="5" spans="2:6" ht="15" x14ac:dyDescent="0.25">
      <c r="B5" s="73"/>
      <c r="C5" s="66" t="s">
        <v>57</v>
      </c>
      <c r="D5" s="73" t="s">
        <v>58</v>
      </c>
      <c r="E5" s="73" t="s">
        <v>59</v>
      </c>
      <c r="F5" s="73" t="s">
        <v>60</v>
      </c>
    </row>
    <row r="6" spans="2:6" ht="6" customHeight="1" x14ac:dyDescent="0.25"/>
    <row r="7" spans="2:6" ht="14.5" customHeight="1" x14ac:dyDescent="0.25">
      <c r="B7" s="74" t="s">
        <v>83</v>
      </c>
      <c r="C7" s="66"/>
      <c r="D7" s="73"/>
      <c r="E7" s="73"/>
      <c r="F7" s="73"/>
    </row>
    <row r="8" spans="2:6" ht="14.5" customHeight="1" x14ac:dyDescent="0.25">
      <c r="B8" s="75" t="s">
        <v>1</v>
      </c>
      <c r="C8" s="191">
        <v>120550000</v>
      </c>
      <c r="D8" s="147">
        <v>128600000</v>
      </c>
      <c r="E8" s="147">
        <v>134900000</v>
      </c>
      <c r="F8" s="147">
        <v>141600000</v>
      </c>
    </row>
    <row r="9" spans="2:6" ht="14.5" customHeight="1" x14ac:dyDescent="0.25">
      <c r="B9" s="75" t="s">
        <v>0</v>
      </c>
      <c r="C9" s="191">
        <v>128000000</v>
      </c>
      <c r="D9" s="147">
        <v>138000000</v>
      </c>
      <c r="E9" s="147">
        <v>143000000</v>
      </c>
      <c r="F9" s="147">
        <v>145300000</v>
      </c>
    </row>
    <row r="10" spans="2:6" ht="14.5" customHeight="1" x14ac:dyDescent="0.25">
      <c r="B10" s="75" t="s">
        <v>2</v>
      </c>
      <c r="C10" s="191">
        <v>55930000</v>
      </c>
      <c r="D10" s="147">
        <v>58400000</v>
      </c>
      <c r="E10" s="147">
        <v>59500000</v>
      </c>
      <c r="F10" s="147">
        <v>54600000</v>
      </c>
    </row>
    <row r="11" spans="2:6" ht="14.5" customHeight="1" x14ac:dyDescent="0.25">
      <c r="B11" s="75" t="s">
        <v>3</v>
      </c>
      <c r="C11" s="191">
        <v>55020000</v>
      </c>
      <c r="D11" s="147">
        <v>63300000</v>
      </c>
      <c r="E11" s="147">
        <v>71500000</v>
      </c>
      <c r="F11" s="147">
        <v>72600000</v>
      </c>
    </row>
    <row r="12" spans="2:6" ht="14.5" customHeight="1" x14ac:dyDescent="0.25">
      <c r="B12" s="75" t="s">
        <v>114</v>
      </c>
      <c r="C12" s="131">
        <f>C20+C28</f>
        <v>4646000</v>
      </c>
      <c r="D12" s="131">
        <f>D20+D28</f>
        <v>4796000</v>
      </c>
      <c r="E12" s="131">
        <f>E20+E28</f>
        <v>4966000</v>
      </c>
      <c r="F12" s="131">
        <f>F20+F28</f>
        <v>5037000</v>
      </c>
    </row>
    <row r="13" spans="2:6" ht="14.5" customHeight="1" x14ac:dyDescent="0.25">
      <c r="B13" s="76" t="s">
        <v>44</v>
      </c>
      <c r="C13" s="192">
        <f>SUM(C8:C12)</f>
        <v>364146000</v>
      </c>
      <c r="D13" s="192">
        <f>SUM(D8:D12)</f>
        <v>393096000</v>
      </c>
      <c r="E13" s="192">
        <f>SUM(E8:E12)</f>
        <v>413866000</v>
      </c>
      <c r="F13" s="192">
        <f>SUM(F8:F12)</f>
        <v>419137000</v>
      </c>
    </row>
    <row r="14" spans="2:6" ht="6" customHeight="1" x14ac:dyDescent="0.25">
      <c r="C14" s="146"/>
      <c r="D14" s="146"/>
      <c r="E14" s="146"/>
      <c r="F14" s="146"/>
    </row>
    <row r="15" spans="2:6" ht="15" x14ac:dyDescent="0.25">
      <c r="B15" s="74" t="s">
        <v>78</v>
      </c>
      <c r="C15" s="170"/>
      <c r="D15" s="170"/>
      <c r="E15" s="170"/>
      <c r="F15" s="170"/>
    </row>
    <row r="16" spans="2:6" ht="15" x14ac:dyDescent="0.25">
      <c r="B16" s="75" t="s">
        <v>1</v>
      </c>
      <c r="C16" s="191">
        <v>75770000</v>
      </c>
      <c r="D16" s="191">
        <v>77105000</v>
      </c>
      <c r="E16" s="191">
        <v>77783000</v>
      </c>
      <c r="F16" s="191">
        <v>77875000</v>
      </c>
    </row>
    <row r="17" spans="2:6" ht="15" x14ac:dyDescent="0.25">
      <c r="B17" s="75" t="s">
        <v>0</v>
      </c>
      <c r="C17" s="191">
        <v>102079000</v>
      </c>
      <c r="D17" s="191">
        <v>106528000</v>
      </c>
      <c r="E17" s="191">
        <v>108796000</v>
      </c>
      <c r="F17" s="191">
        <v>110854000</v>
      </c>
    </row>
    <row r="18" spans="2:6" ht="15" x14ac:dyDescent="0.25">
      <c r="B18" s="75" t="s">
        <v>2</v>
      </c>
      <c r="C18" s="191">
        <v>29904000</v>
      </c>
      <c r="D18" s="191">
        <v>30895000</v>
      </c>
      <c r="E18" s="191">
        <v>31694000</v>
      </c>
      <c r="F18" s="191">
        <v>31942000</v>
      </c>
    </row>
    <row r="19" spans="2:6" ht="15" x14ac:dyDescent="0.25">
      <c r="B19" s="75" t="s">
        <v>3</v>
      </c>
      <c r="C19" s="191">
        <v>25844000</v>
      </c>
      <c r="D19" s="191">
        <v>29355000</v>
      </c>
      <c r="E19" s="191">
        <v>31297000</v>
      </c>
      <c r="F19" s="191">
        <v>34114000</v>
      </c>
    </row>
    <row r="20" spans="2:6" ht="15" x14ac:dyDescent="0.25">
      <c r="B20" s="75" t="s">
        <v>4</v>
      </c>
      <c r="C20" s="191">
        <f>Retail!Z18</f>
        <v>4298000</v>
      </c>
      <c r="D20" s="191">
        <f>Retail!AA18</f>
        <v>4409000</v>
      </c>
      <c r="E20" s="191">
        <f>Retail!AB18</f>
        <v>4482000</v>
      </c>
      <c r="F20" s="191">
        <f>Retail!AC18</f>
        <v>4518000</v>
      </c>
    </row>
    <row r="21" spans="2:6" ht="15" x14ac:dyDescent="0.25">
      <c r="B21" s="76" t="s">
        <v>44</v>
      </c>
      <c r="C21" s="192">
        <f>SUM(C16:C20)</f>
        <v>237895000</v>
      </c>
      <c r="D21" s="192">
        <f>SUM(D16:D20)</f>
        <v>248292000</v>
      </c>
      <c r="E21" s="192">
        <f>SUM(E16:E20)</f>
        <v>254052000</v>
      </c>
      <c r="F21" s="192">
        <f>SUM(F16:F20)</f>
        <v>259303000</v>
      </c>
    </row>
    <row r="22" spans="2:6" ht="6" customHeight="1" x14ac:dyDescent="0.25">
      <c r="C22" s="146"/>
      <c r="D22" s="161"/>
      <c r="E22" s="161"/>
      <c r="F22" s="161"/>
    </row>
    <row r="23" spans="2:6" ht="15" x14ac:dyDescent="0.25">
      <c r="B23" s="74" t="s">
        <v>79</v>
      </c>
      <c r="C23" s="170"/>
      <c r="D23" s="170"/>
      <c r="E23" s="170"/>
      <c r="F23" s="170"/>
    </row>
    <row r="24" spans="2:6" ht="15" x14ac:dyDescent="0.25">
      <c r="B24" s="75" t="s">
        <v>1</v>
      </c>
      <c r="C24" s="191">
        <v>10990000</v>
      </c>
      <c r="D24" s="191">
        <v>11550000</v>
      </c>
      <c r="E24" s="191">
        <v>13540000</v>
      </c>
      <c r="F24" s="191">
        <v>15340000</v>
      </c>
    </row>
    <row r="25" spans="2:6" ht="15" x14ac:dyDescent="0.25">
      <c r="B25" s="75" t="s">
        <v>0</v>
      </c>
      <c r="C25" s="191">
        <v>6130000</v>
      </c>
      <c r="D25" s="191">
        <v>5580000</v>
      </c>
      <c r="E25" s="191">
        <v>5450000</v>
      </c>
      <c r="F25" s="191">
        <v>5400000</v>
      </c>
    </row>
    <row r="26" spans="2:6" ht="15" x14ac:dyDescent="0.25">
      <c r="B26" s="75" t="s">
        <v>2</v>
      </c>
      <c r="C26" s="191">
        <v>15540000</v>
      </c>
      <c r="D26" s="191">
        <v>14660000</v>
      </c>
      <c r="E26" s="191">
        <v>11810000</v>
      </c>
      <c r="F26" s="191">
        <v>9000000</v>
      </c>
    </row>
    <row r="27" spans="2:6" ht="15" x14ac:dyDescent="0.25">
      <c r="B27" s="75" t="s">
        <v>3</v>
      </c>
      <c r="C27" s="191">
        <v>16320000</v>
      </c>
      <c r="D27" s="191">
        <v>17630000</v>
      </c>
      <c r="E27" s="191">
        <v>19800000</v>
      </c>
      <c r="F27" s="191">
        <v>20700000</v>
      </c>
    </row>
    <row r="28" spans="2:6" ht="15" x14ac:dyDescent="0.25">
      <c r="B28" s="75" t="s">
        <v>4</v>
      </c>
      <c r="C28" s="191">
        <f>Retail!F18</f>
        <v>348000</v>
      </c>
      <c r="D28" s="191">
        <f>Retail!G18</f>
        <v>387000</v>
      </c>
      <c r="E28" s="191">
        <f>Retail!H18</f>
        <v>484000</v>
      </c>
      <c r="F28" s="191">
        <f>Retail!I18</f>
        <v>519000</v>
      </c>
    </row>
    <row r="29" spans="2:6" ht="15" x14ac:dyDescent="0.25">
      <c r="B29" s="75" t="s">
        <v>53</v>
      </c>
      <c r="C29" s="191">
        <v>26000000</v>
      </c>
      <c r="D29" s="191">
        <v>25700000</v>
      </c>
      <c r="E29" s="191">
        <v>26100000</v>
      </c>
      <c r="F29" s="191">
        <v>23100000</v>
      </c>
    </row>
    <row r="30" spans="2:6" ht="15" x14ac:dyDescent="0.25">
      <c r="B30" s="75" t="s">
        <v>87</v>
      </c>
      <c r="C30" s="131">
        <f>C38-C29</f>
        <v>13027784.692530908</v>
      </c>
      <c r="D30" s="131">
        <f>D38-D29</f>
        <v>17751156.9740251</v>
      </c>
      <c r="E30" s="131">
        <f>E38-E29</f>
        <v>19504469.926796243</v>
      </c>
      <c r="F30" s="131">
        <f>F38-F29</f>
        <v>19400503.585822053</v>
      </c>
    </row>
    <row r="31" spans="2:6" ht="15" x14ac:dyDescent="0.25">
      <c r="B31" s="76" t="s">
        <v>44</v>
      </c>
      <c r="C31" s="192">
        <f>SUM(C24:C30)</f>
        <v>88355784.6925309</v>
      </c>
      <c r="D31" s="192">
        <f>SUM(D24:D30)</f>
        <v>93258156.9740251</v>
      </c>
      <c r="E31" s="192">
        <f>SUM(E24:E30)</f>
        <v>96688469.926796243</v>
      </c>
      <c r="F31" s="192">
        <f>SUM(F24:F30)</f>
        <v>93459503.585822046</v>
      </c>
    </row>
    <row r="32" spans="2:6" ht="6" customHeight="1" x14ac:dyDescent="0.25">
      <c r="B32" s="76"/>
      <c r="C32" s="193"/>
      <c r="D32" s="146"/>
      <c r="E32" s="146"/>
      <c r="F32" s="146"/>
    </row>
    <row r="33" spans="2:6" ht="15" x14ac:dyDescent="0.25">
      <c r="B33" s="77" t="s">
        <v>80</v>
      </c>
      <c r="C33" s="194"/>
      <c r="D33" s="170"/>
      <c r="E33" s="170"/>
      <c r="F33" s="170"/>
    </row>
    <row r="34" spans="2:6" ht="15" x14ac:dyDescent="0.25">
      <c r="B34" s="75" t="s">
        <v>1</v>
      </c>
      <c r="C34" s="191">
        <f>'AT&amp;T Annual Reports'!E11</f>
        <v>13855000</v>
      </c>
      <c r="D34" s="191">
        <f>'AT&amp;T Annual Reports'!F11</f>
        <v>13774000</v>
      </c>
      <c r="E34" s="191">
        <f>'AT&amp;T Annual Reports'!G11</f>
        <v>11949000</v>
      </c>
      <c r="F34" s="191">
        <f>'AT&amp;T Annual Reports'!H11</f>
        <v>9366000</v>
      </c>
    </row>
    <row r="35" spans="2:6" ht="15" x14ac:dyDescent="0.25">
      <c r="B35" s="75" t="s">
        <v>0</v>
      </c>
      <c r="C35" s="191">
        <f>'Verizon Wholesale Calculations'!E15</f>
        <v>8114954.2764131399</v>
      </c>
      <c r="D35" s="191">
        <f>'Verizon Wholesale Calculations'!F15</f>
        <v>8928186.4563775193</v>
      </c>
      <c r="E35" s="191">
        <f>'Verizon Wholesale Calculations'!G15</f>
        <v>7884469.9267962463</v>
      </c>
      <c r="F35" s="191">
        <f>'Verizon Wholesale Calculations'!H15</f>
        <v>5622503.5858220523</v>
      </c>
    </row>
    <row r="36" spans="2:6" ht="15" x14ac:dyDescent="0.25">
      <c r="B36" s="75" t="s">
        <v>2</v>
      </c>
      <c r="C36" s="191">
        <f>Wholesale!J15</f>
        <v>8570105.8154787924</v>
      </c>
      <c r="D36" s="191">
        <f>Wholesale!K15</f>
        <v>10463767.380848274</v>
      </c>
      <c r="E36" s="191">
        <f>Wholesale!L15</f>
        <v>13084000</v>
      </c>
      <c r="F36" s="191">
        <f>Wholesale!M15</f>
        <v>13642000</v>
      </c>
    </row>
    <row r="37" spans="2:6" ht="15" x14ac:dyDescent="0.25">
      <c r="B37" s="75" t="s">
        <v>3</v>
      </c>
      <c r="C37" s="191">
        <f>Wholesale!J16</f>
        <v>8487724.6006389782</v>
      </c>
      <c r="D37" s="191">
        <f>Wholesale!K16</f>
        <v>10285203.136799304</v>
      </c>
      <c r="E37" s="191">
        <f>Wholesale!L16</f>
        <v>12687000</v>
      </c>
      <c r="F37" s="191">
        <f>Wholesale!M16</f>
        <v>13870000</v>
      </c>
    </row>
    <row r="38" spans="2:6" ht="15" x14ac:dyDescent="0.25">
      <c r="B38" s="76" t="s">
        <v>44</v>
      </c>
      <c r="C38" s="192">
        <f>SUM(C34:C37)</f>
        <v>39027784.692530908</v>
      </c>
      <c r="D38" s="192">
        <f>SUM(D34:D37)</f>
        <v>43451156.9740251</v>
      </c>
      <c r="E38" s="192">
        <f>SUM(E34:E37)</f>
        <v>45604469.926796243</v>
      </c>
      <c r="F38" s="192">
        <f>SUM(F34:F37)</f>
        <v>42500503.585822053</v>
      </c>
    </row>
    <row r="39" spans="2:6" ht="6" customHeight="1" x14ac:dyDescent="0.25">
      <c r="B39" s="76"/>
      <c r="C39" s="192"/>
      <c r="D39" s="192"/>
      <c r="E39" s="192"/>
      <c r="F39" s="192"/>
    </row>
    <row r="40" spans="2:6" ht="15" x14ac:dyDescent="0.25">
      <c r="B40" s="77" t="s">
        <v>85</v>
      </c>
      <c r="C40" s="195"/>
      <c r="D40" s="195"/>
      <c r="E40" s="195"/>
      <c r="F40" s="195"/>
    </row>
    <row r="41" spans="2:6" x14ac:dyDescent="0.35">
      <c r="B41" s="75" t="s">
        <v>1</v>
      </c>
      <c r="C41" s="131">
        <f t="shared" ref="C41:F44" si="0">C8-C16-C24-C34</f>
        <v>19935000</v>
      </c>
      <c r="D41" s="131">
        <f t="shared" si="0"/>
        <v>26171000</v>
      </c>
      <c r="E41" s="131">
        <f t="shared" si="0"/>
        <v>31628000</v>
      </c>
      <c r="F41" s="131">
        <f t="shared" si="0"/>
        <v>39019000</v>
      </c>
    </row>
    <row r="42" spans="2:6" x14ac:dyDescent="0.35">
      <c r="B42" s="75" t="s">
        <v>0</v>
      </c>
      <c r="C42" s="131">
        <f t="shared" si="0"/>
        <v>11676045.723586861</v>
      </c>
      <c r="D42" s="131">
        <f t="shared" si="0"/>
        <v>16963813.543622479</v>
      </c>
      <c r="E42" s="131">
        <f t="shared" si="0"/>
        <v>20869530.073203754</v>
      </c>
      <c r="F42" s="131">
        <f t="shared" si="0"/>
        <v>23423496.414177947</v>
      </c>
    </row>
    <row r="43" spans="2:6" x14ac:dyDescent="0.35">
      <c r="B43" s="75" t="s">
        <v>2</v>
      </c>
      <c r="C43" s="131">
        <f t="shared" si="0"/>
        <v>1915894.1845212076</v>
      </c>
      <c r="D43" s="131">
        <f t="shared" si="0"/>
        <v>2381232.6191517264</v>
      </c>
      <c r="E43" s="131">
        <f t="shared" si="0"/>
        <v>2912000</v>
      </c>
      <c r="F43" s="131">
        <f t="shared" si="0"/>
        <v>16000</v>
      </c>
    </row>
    <row r="44" spans="2:6" x14ac:dyDescent="0.35">
      <c r="B44" s="75" t="s">
        <v>3</v>
      </c>
      <c r="C44" s="131">
        <f t="shared" si="0"/>
        <v>4368275.3993610218</v>
      </c>
      <c r="D44" s="131">
        <f t="shared" si="0"/>
        <v>6029796.8632006962</v>
      </c>
      <c r="E44" s="131">
        <f t="shared" si="0"/>
        <v>7716000</v>
      </c>
      <c r="F44" s="131">
        <f t="shared" si="0"/>
        <v>3916000</v>
      </c>
    </row>
    <row r="45" spans="2:6" x14ac:dyDescent="0.35">
      <c r="B45" s="76" t="s">
        <v>44</v>
      </c>
      <c r="C45" s="192">
        <f>SUM(C41:C44)</f>
        <v>37895215.307469092</v>
      </c>
      <c r="D45" s="192">
        <f>SUM(D41:D44)</f>
        <v>51545843.0259749</v>
      </c>
      <c r="E45" s="192">
        <f>SUM(E41:E44)</f>
        <v>63125530.073203757</v>
      </c>
      <c r="F45" s="192">
        <f>SUM(F41:F44)</f>
        <v>66374496.414177947</v>
      </c>
    </row>
    <row r="46" spans="2:6" ht="6" customHeight="1" x14ac:dyDescent="0.35">
      <c r="B46" s="76"/>
      <c r="C46" s="192"/>
      <c r="D46" s="192"/>
      <c r="E46" s="192"/>
      <c r="F46" s="192"/>
    </row>
    <row r="47" spans="2:6" ht="6" customHeight="1" thickBot="1" x14ac:dyDescent="0.4">
      <c r="B47" s="72"/>
      <c r="C47" s="172"/>
      <c r="D47" s="172"/>
      <c r="E47" s="172"/>
      <c r="F47" s="172"/>
    </row>
    <row r="48" spans="2:6" ht="6" customHeight="1" thickTop="1" x14ac:dyDescent="0.35">
      <c r="D48" s="82"/>
      <c r="E48" s="82"/>
      <c r="F48" s="82"/>
    </row>
    <row r="49" spans="2:6" ht="27.75" customHeight="1" x14ac:dyDescent="0.35">
      <c r="B49" s="204" t="s">
        <v>81</v>
      </c>
      <c r="C49" s="204"/>
      <c r="D49" s="204"/>
      <c r="E49" s="204"/>
      <c r="F49" s="204"/>
    </row>
    <row r="50" spans="2:6" ht="52.5" customHeight="1" x14ac:dyDescent="0.35">
      <c r="B50" s="204" t="s">
        <v>110</v>
      </c>
      <c r="C50" s="204"/>
      <c r="D50" s="204"/>
      <c r="E50" s="204"/>
      <c r="F50" s="204"/>
    </row>
    <row r="51" spans="2:6" ht="28.9" customHeight="1" x14ac:dyDescent="0.35">
      <c r="B51" s="204"/>
      <c r="C51" s="204"/>
    </row>
    <row r="52" spans="2:6" x14ac:dyDescent="0.35">
      <c r="D52" s="79"/>
      <c r="E52" s="79"/>
      <c r="F52" s="79"/>
    </row>
    <row r="53" spans="2:6" x14ac:dyDescent="0.35">
      <c r="D53" s="79"/>
      <c r="E53" s="79"/>
      <c r="F53" s="79"/>
    </row>
  </sheetData>
  <mergeCells count="3">
    <mergeCell ref="B51:C51"/>
    <mergeCell ref="B49:F49"/>
    <mergeCell ref="B50:F50"/>
  </mergeCells>
  <pageMargins left="0.7" right="0.7" top="0.75" bottom="0.75" header="0.3" footer="0.3"/>
  <pageSetup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10</vt:i4>
      </vt:variant>
    </vt:vector>
  </HeadingPairs>
  <TitlesOfParts>
    <vt:vector size="30" baseType="lpstr">
      <vt:lpstr>Table 7</vt:lpstr>
      <vt:lpstr>Table 8</vt:lpstr>
      <vt:lpstr>Table 9</vt:lpstr>
      <vt:lpstr>Table 13</vt:lpstr>
      <vt:lpstr>Table 14</vt:lpstr>
      <vt:lpstr>Table 16</vt:lpstr>
      <vt:lpstr>Table 17</vt:lpstr>
      <vt:lpstr>Intermediate &gt;</vt:lpstr>
      <vt:lpstr>connections</vt:lpstr>
      <vt:lpstr>Verizon Wholesale Calculations</vt:lpstr>
      <vt:lpstr>Retail</vt:lpstr>
      <vt:lpstr>Wholesale</vt:lpstr>
      <vt:lpstr>Raw &gt;</vt:lpstr>
      <vt:lpstr>AT&amp;T Annual Reports</vt:lpstr>
      <vt:lpstr>Verizon Annual Reports</vt:lpstr>
      <vt:lpstr>TMobile Annual Reports</vt:lpstr>
      <vt:lpstr>Sprint Q4 10-Qs</vt:lpstr>
      <vt:lpstr>US Cellular Prepaid ARPU Calc</vt:lpstr>
      <vt:lpstr>US Cellular Q4 Annual Reports</vt:lpstr>
      <vt:lpstr>Tracfone Q4 Financial Reports</vt:lpstr>
      <vt:lpstr>'AT&amp;T Annual Reports'!Print_Area</vt:lpstr>
      <vt:lpstr>connections!Print_Area</vt:lpstr>
      <vt:lpstr>Retail!Print_Area</vt:lpstr>
      <vt:lpstr>'Sprint Q4 10-Qs'!Print_Area</vt:lpstr>
      <vt:lpstr>'Table 13'!Print_Area</vt:lpstr>
      <vt:lpstr>'Table 7'!Print_Area</vt:lpstr>
      <vt:lpstr>'Table 9'!Print_Area</vt:lpstr>
      <vt:lpstr>'US Cellular Prepaid ARPU Calc'!Print_Area</vt:lpstr>
      <vt:lpstr>Wholesale!Print_Area</vt:lpstr>
      <vt:lpstr>'US Cellular Prepaid ARPU Calc'!Print_Titles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2018-09-21T20:35:56Z</dcterms:created>
  <dcterms:modified xsi:type="dcterms:W3CDTF">2018-09-26T14:31:15Z</dcterms:modified>
</cp:coreProperties>
</file>